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NOV\"/>
    </mc:Choice>
  </mc:AlternateContent>
  <xr:revisionPtr revIDLastSave="0" documentId="13_ncr:1_{45B71AB0-E5E9-47DF-ADFC-852B41C47BB2}" xr6:coauthVersionLast="47" xr6:coauthVersionMax="47" xr10:uidLastSave="{00000000-0000-0000-0000-000000000000}"/>
  <bookViews>
    <workbookView xWindow="-120" yWindow="-120" windowWidth="24240" windowHeight="1314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RAB!$A$1:$K$254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54" l="1"/>
  <c r="D231" i="11"/>
  <c r="I231" i="11" s="1"/>
  <c r="E231" i="11"/>
  <c r="G231" i="11"/>
  <c r="F122" i="11"/>
  <c r="F199" i="11"/>
  <c r="F198" i="11"/>
  <c r="F197" i="11"/>
  <c r="F196" i="11"/>
  <c r="F195" i="11"/>
  <c r="F194" i="11"/>
  <c r="F193" i="11"/>
  <c r="F192" i="11"/>
  <c r="F191" i="11"/>
  <c r="D187" i="11"/>
  <c r="E187" i="11"/>
  <c r="G187" i="11"/>
  <c r="D188" i="11"/>
  <c r="I188" i="11" s="1"/>
  <c r="E188" i="11"/>
  <c r="G188" i="11"/>
  <c r="D189" i="11"/>
  <c r="J189" i="11" s="1"/>
  <c r="E189" i="11"/>
  <c r="G189" i="11"/>
  <c r="D190" i="11"/>
  <c r="J190" i="11" s="1"/>
  <c r="E190" i="11"/>
  <c r="G190" i="11"/>
  <c r="D191" i="11"/>
  <c r="J191" i="11" s="1"/>
  <c r="E191" i="11"/>
  <c r="G191" i="11"/>
  <c r="D192" i="11"/>
  <c r="J192" i="11" s="1"/>
  <c r="E192" i="11"/>
  <c r="G192" i="11"/>
  <c r="D193" i="11"/>
  <c r="J193" i="11" s="1"/>
  <c r="E193" i="11"/>
  <c r="G193" i="11"/>
  <c r="D194" i="11"/>
  <c r="J194" i="11" s="1"/>
  <c r="E194" i="11"/>
  <c r="G194" i="11"/>
  <c r="D195" i="11"/>
  <c r="J195" i="11" s="1"/>
  <c r="E195" i="11"/>
  <c r="G195" i="11"/>
  <c r="D196" i="11"/>
  <c r="J196" i="11" s="1"/>
  <c r="E196" i="11"/>
  <c r="G196" i="11"/>
  <c r="D197" i="11"/>
  <c r="J197" i="11" s="1"/>
  <c r="E197" i="11"/>
  <c r="G197" i="11"/>
  <c r="D198" i="11"/>
  <c r="J198" i="11" s="1"/>
  <c r="E198" i="11"/>
  <c r="G198" i="11"/>
  <c r="D199" i="11"/>
  <c r="E199" i="11"/>
  <c r="G199" i="11"/>
  <c r="G18" i="11"/>
  <c r="G19" i="11"/>
  <c r="H19" i="11"/>
  <c r="I19" i="11"/>
  <c r="J19" i="11"/>
  <c r="G20" i="11"/>
  <c r="D18" i="11"/>
  <c r="H18" i="11" s="1"/>
  <c r="E18" i="11"/>
  <c r="E7" i="64"/>
  <c r="G6" i="11"/>
  <c r="D225" i="11"/>
  <c r="J225" i="11" s="1"/>
  <c r="E225" i="11"/>
  <c r="G225" i="11"/>
  <c r="D226" i="11"/>
  <c r="J226" i="11" s="1"/>
  <c r="E226" i="11"/>
  <c r="G226" i="11"/>
  <c r="D227" i="11"/>
  <c r="H227" i="11" s="1"/>
  <c r="E227" i="11"/>
  <c r="G227" i="11"/>
  <c r="D228" i="11"/>
  <c r="E228" i="11"/>
  <c r="G228" i="11"/>
  <c r="D229" i="11"/>
  <c r="E229" i="11"/>
  <c r="G229" i="11"/>
  <c r="D230" i="11"/>
  <c r="E230" i="11"/>
  <c r="G230" i="11"/>
  <c r="F149" i="11"/>
  <c r="F146" i="11"/>
  <c r="F145" i="11"/>
  <c r="F144" i="11"/>
  <c r="F143" i="11"/>
  <c r="F142" i="11"/>
  <c r="F139" i="11"/>
  <c r="F138" i="11"/>
  <c r="F137" i="11"/>
  <c r="F136" i="11"/>
  <c r="F135" i="11"/>
  <c r="F132" i="11"/>
  <c r="F131" i="11"/>
  <c r="F130" i="11"/>
  <c r="F129" i="11"/>
  <c r="F128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D128" i="11"/>
  <c r="J128" i="11" s="1"/>
  <c r="E128" i="11"/>
  <c r="G128" i="11"/>
  <c r="D129" i="11"/>
  <c r="J129" i="11" s="1"/>
  <c r="E129" i="11"/>
  <c r="G129" i="11"/>
  <c r="D130" i="11"/>
  <c r="J130" i="11" s="1"/>
  <c r="E130" i="11"/>
  <c r="G130" i="11"/>
  <c r="D131" i="11"/>
  <c r="H131" i="11" s="1"/>
  <c r="E131" i="11"/>
  <c r="G131" i="11"/>
  <c r="D132" i="11"/>
  <c r="E132" i="11"/>
  <c r="G132" i="11"/>
  <c r="D133" i="11"/>
  <c r="J133" i="11" s="1"/>
  <c r="E133" i="11"/>
  <c r="G133" i="11"/>
  <c r="D134" i="11"/>
  <c r="J134" i="11" s="1"/>
  <c r="E134" i="11"/>
  <c r="G134" i="11"/>
  <c r="D135" i="11"/>
  <c r="H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H139" i="11" s="1"/>
  <c r="E139" i="11"/>
  <c r="G139" i="11"/>
  <c r="D140" i="11"/>
  <c r="J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H143" i="11" s="1"/>
  <c r="E143" i="11"/>
  <c r="G143" i="11"/>
  <c r="D144" i="11"/>
  <c r="J144" i="11" s="1"/>
  <c r="E144" i="11"/>
  <c r="G144" i="11"/>
  <c r="D145" i="11"/>
  <c r="J145" i="11" s="1"/>
  <c r="E145" i="11"/>
  <c r="G145" i="11"/>
  <c r="D146" i="11"/>
  <c r="H146" i="11" s="1"/>
  <c r="E146" i="11"/>
  <c r="G146" i="11"/>
  <c r="D147" i="11"/>
  <c r="J147" i="11" s="1"/>
  <c r="E147" i="11"/>
  <c r="G147" i="11"/>
  <c r="D148" i="11"/>
  <c r="J148" i="11" s="1"/>
  <c r="E148" i="11"/>
  <c r="G148" i="11"/>
  <c r="D149" i="11"/>
  <c r="H149" i="11" s="1"/>
  <c r="E149" i="11"/>
  <c r="G149" i="11"/>
  <c r="D150" i="11"/>
  <c r="H150" i="11" s="1"/>
  <c r="E150" i="11"/>
  <c r="G150" i="11"/>
  <c r="D151" i="11"/>
  <c r="H151" i="11" s="1"/>
  <c r="E151" i="11"/>
  <c r="G151" i="11"/>
  <c r="D152" i="11"/>
  <c r="H152" i="11" s="1"/>
  <c r="E152" i="11"/>
  <c r="G152" i="11"/>
  <c r="D154" i="11"/>
  <c r="J154" i="11" s="1"/>
  <c r="E154" i="11"/>
  <c r="G15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6" i="11"/>
  <c r="F123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223" i="11"/>
  <c r="F222" i="11"/>
  <c r="F221" i="11"/>
  <c r="F220" i="11"/>
  <c r="F219" i="11"/>
  <c r="F218" i="11"/>
  <c r="F217" i="11"/>
  <c r="F207" i="11"/>
  <c r="F205" i="11"/>
  <c r="F204" i="11"/>
  <c r="F203" i="11"/>
  <c r="D120" i="11"/>
  <c r="J120" i="11" s="1"/>
  <c r="E120" i="11"/>
  <c r="G120" i="11"/>
  <c r="D121" i="11"/>
  <c r="J121" i="11" s="1"/>
  <c r="E121" i="11"/>
  <c r="G121" i="11"/>
  <c r="D122" i="11"/>
  <c r="E122" i="11"/>
  <c r="G122" i="11"/>
  <c r="D123" i="11"/>
  <c r="H123" i="11" s="1"/>
  <c r="E123" i="11"/>
  <c r="G123" i="11"/>
  <c r="D124" i="11"/>
  <c r="J124" i="11" s="1"/>
  <c r="E124" i="11"/>
  <c r="G124" i="11"/>
  <c r="J231" i="11" l="1"/>
  <c r="H231" i="11"/>
  <c r="J230" i="11"/>
  <c r="J199" i="11"/>
  <c r="J187" i="11"/>
  <c r="I187" i="11"/>
  <c r="H187" i="11"/>
  <c r="I190" i="11"/>
  <c r="H190" i="11"/>
  <c r="I194" i="11"/>
  <c r="I195" i="11"/>
  <c r="I199" i="11"/>
  <c r="I198" i="11"/>
  <c r="I197" i="11"/>
  <c r="H194" i="11"/>
  <c r="I193" i="11"/>
  <c r="I192" i="11"/>
  <c r="I191" i="11"/>
  <c r="H188" i="11"/>
  <c r="H199" i="11"/>
  <c r="K199" i="11" s="1"/>
  <c r="H193" i="11"/>
  <c r="H198" i="11"/>
  <c r="H192" i="11"/>
  <c r="H197" i="11"/>
  <c r="H195" i="11"/>
  <c r="H191" i="11"/>
  <c r="I189" i="11"/>
  <c r="H189" i="11"/>
  <c r="H196" i="11"/>
  <c r="J188" i="11"/>
  <c r="I196" i="11"/>
  <c r="K19" i="11"/>
  <c r="J18" i="11"/>
  <c r="I18" i="11"/>
  <c r="I225" i="11"/>
  <c r="I230" i="11"/>
  <c r="H225" i="11"/>
  <c r="H230" i="11"/>
  <c r="J229" i="11"/>
  <c r="J228" i="11"/>
  <c r="I229" i="11"/>
  <c r="I228" i="11"/>
  <c r="J227" i="11"/>
  <c r="H228" i="11"/>
  <c r="H229" i="11"/>
  <c r="I227" i="11"/>
  <c r="I226" i="11"/>
  <c r="H226" i="11"/>
  <c r="I144" i="11"/>
  <c r="J127" i="11"/>
  <c r="H144" i="11"/>
  <c r="J143" i="11"/>
  <c r="J132" i="11"/>
  <c r="I125" i="11"/>
  <c r="I147" i="11"/>
  <c r="J150" i="11"/>
  <c r="I129" i="11"/>
  <c r="I128" i="11"/>
  <c r="I133" i="11"/>
  <c r="I132" i="11"/>
  <c r="J131" i="11"/>
  <c r="I127" i="11"/>
  <c r="K127" i="11" s="1"/>
  <c r="J152" i="11"/>
  <c r="J151" i="11"/>
  <c r="I150" i="11"/>
  <c r="H147" i="11"/>
  <c r="I141" i="11"/>
  <c r="I137" i="11"/>
  <c r="J136" i="11"/>
  <c r="J139" i="11"/>
  <c r="I136" i="11"/>
  <c r="J135" i="11"/>
  <c r="I134" i="11"/>
  <c r="H132" i="11"/>
  <c r="H125" i="11"/>
  <c r="H133" i="11"/>
  <c r="I131" i="11"/>
  <c r="I130" i="11"/>
  <c r="I152" i="11"/>
  <c r="I151" i="11"/>
  <c r="H128" i="11"/>
  <c r="I140" i="11"/>
  <c r="I149" i="11"/>
  <c r="I148" i="11"/>
  <c r="I143" i="11"/>
  <c r="I142" i="11"/>
  <c r="H140" i="11"/>
  <c r="H129" i="11"/>
  <c r="J149" i="11"/>
  <c r="H141" i="11"/>
  <c r="I139" i="11"/>
  <c r="I138" i="11"/>
  <c r="I126" i="11"/>
  <c r="H137" i="11"/>
  <c r="I135" i="11"/>
  <c r="H145" i="11"/>
  <c r="I154" i="11"/>
  <c r="H154" i="11"/>
  <c r="H148" i="11"/>
  <c r="J146" i="11"/>
  <c r="I145" i="11"/>
  <c r="I146" i="11"/>
  <c r="H142" i="11"/>
  <c r="H138" i="11"/>
  <c r="H134" i="11"/>
  <c r="H130" i="11"/>
  <c r="H126" i="11"/>
  <c r="H122" i="11"/>
  <c r="J122" i="11"/>
  <c r="I121" i="11"/>
  <c r="I120" i="11"/>
  <c r="I124" i="11"/>
  <c r="H120" i="11"/>
  <c r="I123" i="11"/>
  <c r="J123" i="11"/>
  <c r="I122" i="11"/>
  <c r="H124" i="11"/>
  <c r="H121" i="11"/>
  <c r="K231" i="11" l="1"/>
  <c r="K190" i="11"/>
  <c r="K194" i="11"/>
  <c r="K195" i="11"/>
  <c r="K198" i="11"/>
  <c r="K193" i="11"/>
  <c r="K187" i="11"/>
  <c r="K188" i="11"/>
  <c r="K192" i="11"/>
  <c r="K197" i="11"/>
  <c r="K191" i="11"/>
  <c r="K189" i="11"/>
  <c r="K196" i="11"/>
  <c r="K227" i="11"/>
  <c r="K230" i="11"/>
  <c r="K18" i="11"/>
  <c r="K225" i="11"/>
  <c r="K229" i="11"/>
  <c r="K228" i="11"/>
  <c r="K226" i="11"/>
  <c r="K147" i="11"/>
  <c r="K126" i="11"/>
  <c r="K128" i="11"/>
  <c r="K144" i="11"/>
  <c r="K139" i="11"/>
  <c r="K142" i="11"/>
  <c r="K143" i="11"/>
  <c r="K133" i="11"/>
  <c r="K130" i="11"/>
  <c r="K152" i="11"/>
  <c r="K129" i="11"/>
  <c r="K125" i="11"/>
  <c r="K150" i="11"/>
  <c r="K131" i="11"/>
  <c r="K149" i="11"/>
  <c r="K132" i="11"/>
  <c r="K141" i="11"/>
  <c r="K136" i="11"/>
  <c r="K151" i="11"/>
  <c r="K138" i="11"/>
  <c r="K135" i="11"/>
  <c r="K134" i="11"/>
  <c r="K137" i="11"/>
  <c r="K154" i="11"/>
  <c r="K140" i="11"/>
  <c r="K148" i="11"/>
  <c r="K145" i="11"/>
  <c r="K146" i="11"/>
  <c r="K124" i="11"/>
  <c r="K122" i="11"/>
  <c r="K121" i="11"/>
  <c r="K120" i="11"/>
  <c r="K123" i="11"/>
  <c r="D41" i="11" l="1"/>
  <c r="J41" i="11" s="1"/>
  <c r="E41" i="11"/>
  <c r="G41" i="11"/>
  <c r="D42" i="11"/>
  <c r="J42" i="11" s="1"/>
  <c r="E42" i="11"/>
  <c r="G42" i="11"/>
  <c r="D43" i="1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H53" i="11" s="1"/>
  <c r="E53" i="11"/>
  <c r="G53" i="11"/>
  <c r="D54" i="11"/>
  <c r="E54" i="11"/>
  <c r="G54" i="11"/>
  <c r="D55" i="11"/>
  <c r="H55" i="11" s="1"/>
  <c r="E55" i="11"/>
  <c r="G55" i="11"/>
  <c r="D57" i="11"/>
  <c r="H57" i="11" s="1"/>
  <c r="E57" i="11"/>
  <c r="G57" i="11"/>
  <c r="D58" i="11"/>
  <c r="E58" i="11"/>
  <c r="G58" i="11"/>
  <c r="D59" i="11"/>
  <c r="J59" i="11" s="1"/>
  <c r="E59" i="11"/>
  <c r="G59" i="11"/>
  <c r="D60" i="11"/>
  <c r="H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H69" i="11" s="1"/>
  <c r="E69" i="11"/>
  <c r="G69" i="11"/>
  <c r="F20" i="11"/>
  <c r="E19" i="11"/>
  <c r="D20" i="11"/>
  <c r="E20" i="11"/>
  <c r="F97" i="11"/>
  <c r="F95" i="11"/>
  <c r="F94" i="11"/>
  <c r="F96" i="11" s="1"/>
  <c r="D91" i="11"/>
  <c r="H91" i="11" s="1"/>
  <c r="E91" i="11"/>
  <c r="G91" i="11"/>
  <c r="D92" i="11"/>
  <c r="H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E97" i="11"/>
  <c r="G97" i="11"/>
  <c r="D98" i="11"/>
  <c r="H98" i="11" s="1"/>
  <c r="E98" i="11"/>
  <c r="G98" i="11"/>
  <c r="I20" i="11" l="1"/>
  <c r="J20" i="11"/>
  <c r="H20" i="11"/>
  <c r="H43" i="11"/>
  <c r="H58" i="11"/>
  <c r="I41" i="11"/>
  <c r="I66" i="11"/>
  <c r="J69" i="11"/>
  <c r="J64" i="11"/>
  <c r="J58" i="11"/>
  <c r="J57" i="11"/>
  <c r="I51" i="11"/>
  <c r="I43" i="11"/>
  <c r="I69" i="11"/>
  <c r="J68" i="11"/>
  <c r="H66" i="11"/>
  <c r="I64" i="11"/>
  <c r="J44" i="11"/>
  <c r="J43" i="11"/>
  <c r="H41" i="11"/>
  <c r="J60" i="11"/>
  <c r="I57" i="11"/>
  <c r="J55" i="11"/>
  <c r="J48" i="11"/>
  <c r="J49" i="11"/>
  <c r="J61" i="11"/>
  <c r="J52" i="11"/>
  <c r="J51" i="11"/>
  <c r="I49" i="11"/>
  <c r="K49" i="11" s="1"/>
  <c r="I48" i="11"/>
  <c r="J47" i="11"/>
  <c r="I60" i="11"/>
  <c r="I58" i="11"/>
  <c r="H62" i="11"/>
  <c r="I55" i="11"/>
  <c r="I53" i="11"/>
  <c r="I47" i="11"/>
  <c r="I45" i="11"/>
  <c r="I62" i="11"/>
  <c r="J45" i="11"/>
  <c r="I61" i="11"/>
  <c r="I52" i="11"/>
  <c r="I44" i="11"/>
  <c r="J53" i="11"/>
  <c r="J54" i="11"/>
  <c r="I65" i="11"/>
  <c r="J65" i="11"/>
  <c r="I42" i="11"/>
  <c r="I68" i="11"/>
  <c r="I63" i="11"/>
  <c r="I50" i="11"/>
  <c r="H67" i="11"/>
  <c r="H63" i="11"/>
  <c r="H59" i="11"/>
  <c r="H54" i="11"/>
  <c r="H50" i="11"/>
  <c r="H46" i="11"/>
  <c r="H42" i="11"/>
  <c r="I59" i="11"/>
  <c r="I67" i="11"/>
  <c r="I54" i="11"/>
  <c r="I46" i="11"/>
  <c r="I93" i="11"/>
  <c r="I91" i="11"/>
  <c r="J97" i="11"/>
  <c r="J96" i="11"/>
  <c r="J95" i="11"/>
  <c r="I97" i="11"/>
  <c r="I98" i="11"/>
  <c r="H97" i="11"/>
  <c r="J91" i="11"/>
  <c r="J98" i="11"/>
  <c r="I96" i="11"/>
  <c r="I95" i="11"/>
  <c r="H93" i="11"/>
  <c r="I92" i="11"/>
  <c r="H94" i="11"/>
  <c r="J92" i="11"/>
  <c r="I94" i="11"/>
  <c r="K53" i="11" l="1"/>
  <c r="K20" i="11"/>
  <c r="K57" i="11"/>
  <c r="K63" i="11"/>
  <c r="K60" i="11"/>
  <c r="K64" i="11"/>
  <c r="K41" i="11"/>
  <c r="K61" i="11"/>
  <c r="K62" i="11"/>
  <c r="K51" i="11"/>
  <c r="K69" i="11"/>
  <c r="K58" i="11"/>
  <c r="K65" i="11"/>
  <c r="K68" i="11"/>
  <c r="K55" i="11"/>
  <c r="K66" i="11"/>
  <c r="K91" i="11"/>
  <c r="K44" i="11"/>
  <c r="K45" i="11"/>
  <c r="K52" i="11"/>
  <c r="K48" i="11"/>
  <c r="K43" i="11"/>
  <c r="K47" i="11"/>
  <c r="K42" i="11"/>
  <c r="K50" i="11"/>
  <c r="K67" i="11"/>
  <c r="K54" i="11"/>
  <c r="K59" i="11"/>
  <c r="K46" i="11"/>
  <c r="K93" i="11"/>
  <c r="K97" i="11"/>
  <c r="K96" i="11"/>
  <c r="K95" i="11"/>
  <c r="K92" i="11"/>
  <c r="K98" i="11"/>
  <c r="K94" i="11"/>
  <c r="F89" i="11" l="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D74" i="11"/>
  <c r="H74" i="11" s="1"/>
  <c r="E74" i="11"/>
  <c r="G74" i="11"/>
  <c r="D75" i="11"/>
  <c r="J75" i="11" s="1"/>
  <c r="E75" i="11"/>
  <c r="G75" i="11"/>
  <c r="D76" i="11"/>
  <c r="H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H84" i="11" s="1"/>
  <c r="E84" i="11"/>
  <c r="G84" i="11"/>
  <c r="D85" i="11"/>
  <c r="H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H89" i="11" s="1"/>
  <c r="E89" i="11"/>
  <c r="G89" i="11"/>
  <c r="D90" i="11"/>
  <c r="J90" i="11" s="1"/>
  <c r="E90" i="11"/>
  <c r="G9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D25" i="11"/>
  <c r="J25" i="11" s="1"/>
  <c r="E25" i="11"/>
  <c r="G25" i="11"/>
  <c r="D26" i="11"/>
  <c r="J26" i="11" s="1"/>
  <c r="E26" i="11"/>
  <c r="G26" i="11"/>
  <c r="D27" i="11"/>
  <c r="E27" i="11"/>
  <c r="G27" i="11"/>
  <c r="D28" i="11"/>
  <c r="J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E39" i="11"/>
  <c r="G39" i="11"/>
  <c r="D40" i="11"/>
  <c r="H40" i="11" s="1"/>
  <c r="E40" i="11"/>
  <c r="G4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J76" i="11" l="1"/>
  <c r="I86" i="11"/>
  <c r="J80" i="11"/>
  <c r="J74" i="11"/>
  <c r="I29" i="11"/>
  <c r="J88" i="11"/>
  <c r="I82" i="11"/>
  <c r="I80" i="11"/>
  <c r="I90" i="11"/>
  <c r="I76" i="11"/>
  <c r="I74" i="11"/>
  <c r="I88" i="11"/>
  <c r="H86" i="11"/>
  <c r="I85" i="11"/>
  <c r="J84" i="11"/>
  <c r="H82" i="11"/>
  <c r="I81" i="11"/>
  <c r="H78" i="11"/>
  <c r="I77" i="11"/>
  <c r="I84" i="11"/>
  <c r="I78" i="11"/>
  <c r="H90" i="11"/>
  <c r="I89" i="11"/>
  <c r="I87" i="11"/>
  <c r="I83" i="11"/>
  <c r="I79" i="11"/>
  <c r="I75" i="11"/>
  <c r="J89" i="11"/>
  <c r="H87" i="11"/>
  <c r="J85" i="11"/>
  <c r="H83" i="11"/>
  <c r="J81" i="11"/>
  <c r="H79" i="11"/>
  <c r="J77" i="11"/>
  <c r="H75" i="11"/>
  <c r="K75" i="11" s="1"/>
  <c r="I35" i="11"/>
  <c r="J39" i="11"/>
  <c r="I37" i="11"/>
  <c r="I36" i="11"/>
  <c r="H27" i="11"/>
  <c r="I25" i="11"/>
  <c r="H33" i="11"/>
  <c r="I33" i="11"/>
  <c r="I71" i="11"/>
  <c r="I40" i="11"/>
  <c r="I39" i="11"/>
  <c r="H37" i="11"/>
  <c r="I27" i="11"/>
  <c r="I73" i="11"/>
  <c r="I31" i="11"/>
  <c r="H29" i="11"/>
  <c r="I28" i="11"/>
  <c r="I32" i="11"/>
  <c r="J73" i="11"/>
  <c r="J40" i="11"/>
  <c r="H39" i="11"/>
  <c r="I38" i="11"/>
  <c r="H36" i="11"/>
  <c r="J35" i="11"/>
  <c r="J32" i="11"/>
  <c r="H31" i="11"/>
  <c r="I30" i="11"/>
  <c r="H28" i="11"/>
  <c r="J27" i="11"/>
  <c r="H25" i="11"/>
  <c r="I72" i="11"/>
  <c r="I34" i="11"/>
  <c r="I26" i="11"/>
  <c r="H71" i="11"/>
  <c r="H72" i="11"/>
  <c r="H38" i="11"/>
  <c r="H34" i="11"/>
  <c r="H30" i="11"/>
  <c r="H26" i="11"/>
  <c r="K80" i="11" l="1"/>
  <c r="K77" i="11"/>
  <c r="K35" i="11"/>
  <c r="K82" i="11"/>
  <c r="K71" i="11"/>
  <c r="K36" i="11"/>
  <c r="K76" i="11"/>
  <c r="K37" i="11"/>
  <c r="K79" i="11"/>
  <c r="K89" i="11"/>
  <c r="K86" i="11"/>
  <c r="K74" i="11"/>
  <c r="K88" i="11"/>
  <c r="K84" i="11"/>
  <c r="K29" i="11"/>
  <c r="K33" i="11"/>
  <c r="K87" i="11"/>
  <c r="K81" i="11"/>
  <c r="K90" i="11"/>
  <c r="K78" i="11"/>
  <c r="K83" i="11"/>
  <c r="K25" i="11"/>
  <c r="K31" i="11"/>
  <c r="K85" i="11"/>
  <c r="K73" i="11"/>
  <c r="K72" i="11"/>
  <c r="K28" i="11"/>
  <c r="K39" i="11"/>
  <c r="K30" i="11"/>
  <c r="K40" i="11"/>
  <c r="K26" i="11"/>
  <c r="K32" i="11"/>
  <c r="K34" i="11"/>
  <c r="K38" i="11"/>
  <c r="K27" i="11"/>
  <c r="F108" i="11" l="1"/>
  <c r="F114" i="11"/>
  <c r="D24" i="11"/>
  <c r="J24" i="11" s="1"/>
  <c r="E24" i="11"/>
  <c r="G24" i="11"/>
  <c r="G23" i="11"/>
  <c r="I24" i="11" l="1"/>
  <c r="H24" i="11"/>
  <c r="K24" i="11" l="1"/>
  <c r="D200" i="11" l="1"/>
  <c r="J200" i="11" s="1"/>
  <c r="E200" i="11"/>
  <c r="G200" i="11"/>
  <c r="F184" i="11"/>
  <c r="F183" i="11"/>
  <c r="F182" i="11"/>
  <c r="F181" i="11"/>
  <c r="F180" i="11"/>
  <c r="F179" i="11"/>
  <c r="F178" i="11"/>
  <c r="F177" i="11"/>
  <c r="F176" i="11"/>
  <c r="D175" i="11"/>
  <c r="H175" i="11" s="1"/>
  <c r="E175" i="11"/>
  <c r="G175" i="11"/>
  <c r="D176" i="11"/>
  <c r="J176" i="11" s="1"/>
  <c r="E176" i="11"/>
  <c r="G176" i="11"/>
  <c r="D177" i="11"/>
  <c r="J177" i="11" s="1"/>
  <c r="E177" i="11"/>
  <c r="G177" i="11"/>
  <c r="D178" i="11"/>
  <c r="H178" i="11" s="1"/>
  <c r="E178" i="11"/>
  <c r="G178" i="11"/>
  <c r="D179" i="11"/>
  <c r="J179" i="11" s="1"/>
  <c r="E179" i="11"/>
  <c r="G179" i="11"/>
  <c r="D180" i="11"/>
  <c r="J180" i="11" s="1"/>
  <c r="E180" i="11"/>
  <c r="G180" i="11"/>
  <c r="D181" i="11"/>
  <c r="J181" i="11" s="1"/>
  <c r="E181" i="11"/>
  <c r="G181" i="11"/>
  <c r="D182" i="11"/>
  <c r="H182" i="11" s="1"/>
  <c r="E182" i="11"/>
  <c r="G182" i="11"/>
  <c r="D183" i="11"/>
  <c r="H183" i="11" s="1"/>
  <c r="E183" i="11"/>
  <c r="G183" i="11"/>
  <c r="D184" i="11"/>
  <c r="E184" i="11"/>
  <c r="G184" i="11"/>
  <c r="D185" i="11"/>
  <c r="J185" i="11" s="1"/>
  <c r="E185" i="11"/>
  <c r="G185" i="11"/>
  <c r="D155" i="11"/>
  <c r="J155" i="11" s="1"/>
  <c r="E155" i="11"/>
  <c r="G155" i="11"/>
  <c r="D156" i="11"/>
  <c r="I156" i="11" s="1"/>
  <c r="E156" i="11"/>
  <c r="G156" i="11"/>
  <c r="D157" i="11"/>
  <c r="J157" i="11" s="1"/>
  <c r="E157" i="11"/>
  <c r="G157" i="11"/>
  <c r="J158" i="11"/>
  <c r="E158" i="11"/>
  <c r="G158" i="11"/>
  <c r="J159" i="11"/>
  <c r="E159" i="11"/>
  <c r="G159" i="11"/>
  <c r="I160" i="11"/>
  <c r="E160" i="11"/>
  <c r="G160" i="11"/>
  <c r="J161" i="11"/>
  <c r="E161" i="11"/>
  <c r="G161" i="11"/>
  <c r="D162" i="11"/>
  <c r="J162" i="11" s="1"/>
  <c r="E162" i="11"/>
  <c r="G162" i="11"/>
  <c r="D163" i="11"/>
  <c r="J163" i="11" s="1"/>
  <c r="E163" i="11"/>
  <c r="G163" i="11"/>
  <c r="D164" i="11"/>
  <c r="J164" i="11" s="1"/>
  <c r="E164" i="11"/>
  <c r="G164" i="11"/>
  <c r="D165" i="11"/>
  <c r="H165" i="11" s="1"/>
  <c r="E165" i="11"/>
  <c r="G165" i="11"/>
  <c r="D166" i="11"/>
  <c r="J166" i="11" s="1"/>
  <c r="E166" i="11"/>
  <c r="G166" i="11"/>
  <c r="J167" i="11"/>
  <c r="E167" i="11"/>
  <c r="G167" i="11"/>
  <c r="D168" i="11"/>
  <c r="H168" i="11" s="1"/>
  <c r="E168" i="11"/>
  <c r="G168" i="11"/>
  <c r="D169" i="11"/>
  <c r="H169" i="11" s="1"/>
  <c r="E169" i="11"/>
  <c r="G169" i="11"/>
  <c r="D170" i="11"/>
  <c r="J170" i="11" s="1"/>
  <c r="E170" i="11"/>
  <c r="G170" i="11"/>
  <c r="D171" i="11"/>
  <c r="J171" i="11" s="1"/>
  <c r="E171" i="11"/>
  <c r="G171" i="11"/>
  <c r="D172" i="11"/>
  <c r="H172" i="11" s="1"/>
  <c r="E172" i="11"/>
  <c r="G172" i="11"/>
  <c r="D173" i="11"/>
  <c r="H173" i="11" s="1"/>
  <c r="E173" i="11"/>
  <c r="G173" i="11"/>
  <c r="D119" i="11"/>
  <c r="H119" i="11" s="1"/>
  <c r="E119" i="11"/>
  <c r="G119" i="11"/>
  <c r="F118" i="11"/>
  <c r="F117" i="11"/>
  <c r="F116" i="11"/>
  <c r="F115" i="11"/>
  <c r="D114" i="11"/>
  <c r="J114" i="11" s="1"/>
  <c r="E114" i="11"/>
  <c r="G114" i="11"/>
  <c r="D115" i="11"/>
  <c r="J115" i="11" s="1"/>
  <c r="E115" i="11"/>
  <c r="G115" i="11"/>
  <c r="D116" i="11"/>
  <c r="H116" i="11" s="1"/>
  <c r="E116" i="11"/>
  <c r="G116" i="11"/>
  <c r="D117" i="11"/>
  <c r="H117" i="11" s="1"/>
  <c r="E117" i="11"/>
  <c r="G117" i="11"/>
  <c r="D118" i="11"/>
  <c r="E118" i="11"/>
  <c r="G118" i="11"/>
  <c r="G107" i="11"/>
  <c r="G108" i="11"/>
  <c r="G109" i="11"/>
  <c r="G110" i="11"/>
  <c r="G111" i="11"/>
  <c r="G112" i="11"/>
  <c r="G113" i="11"/>
  <c r="D107" i="11"/>
  <c r="H107" i="11" s="1"/>
  <c r="E107" i="11"/>
  <c r="D108" i="11"/>
  <c r="J108" i="11" s="1"/>
  <c r="E108" i="11"/>
  <c r="D109" i="11"/>
  <c r="E109" i="11"/>
  <c r="D110" i="11"/>
  <c r="H110" i="11" s="1"/>
  <c r="E110" i="11"/>
  <c r="D111" i="11"/>
  <c r="H111" i="11" s="1"/>
  <c r="E111" i="11"/>
  <c r="D112" i="11"/>
  <c r="E112" i="11"/>
  <c r="D113" i="11"/>
  <c r="I113" i="11" s="1"/>
  <c r="E113" i="11"/>
  <c r="F112" i="11"/>
  <c r="F111" i="11"/>
  <c r="F110" i="11"/>
  <c r="F109" i="11"/>
  <c r="F106" i="11"/>
  <c r="F105" i="11"/>
  <c r="F104" i="11"/>
  <c r="F103" i="11"/>
  <c r="F102" i="11"/>
  <c r="F101" i="11"/>
  <c r="G99" i="11"/>
  <c r="G100" i="11"/>
  <c r="G101" i="11"/>
  <c r="G102" i="11"/>
  <c r="G103" i="11"/>
  <c r="G104" i="11"/>
  <c r="G105" i="11"/>
  <c r="G106" i="11"/>
  <c r="D99" i="11"/>
  <c r="H99" i="11" s="1"/>
  <c r="E99" i="11"/>
  <c r="D100" i="11"/>
  <c r="J100" i="11" s="1"/>
  <c r="E100" i="11"/>
  <c r="D101" i="11"/>
  <c r="E101" i="11"/>
  <c r="D102" i="11"/>
  <c r="H102" i="11" s="1"/>
  <c r="E102" i="11"/>
  <c r="D103" i="11"/>
  <c r="H103" i="11" s="1"/>
  <c r="E103" i="11"/>
  <c r="D104" i="11"/>
  <c r="J104" i="11" s="1"/>
  <c r="E104" i="11"/>
  <c r="D105" i="11"/>
  <c r="E105" i="11"/>
  <c r="D106" i="11"/>
  <c r="H106" i="11" s="1"/>
  <c r="E106" i="11"/>
  <c r="D15" i="11"/>
  <c r="J15" i="11" s="1"/>
  <c r="E15" i="11"/>
  <c r="G15" i="11"/>
  <c r="D16" i="11"/>
  <c r="J16" i="11" s="1"/>
  <c r="E16" i="11"/>
  <c r="G16" i="11"/>
  <c r="D17" i="11"/>
  <c r="H17" i="11" s="1"/>
  <c r="E17" i="11"/>
  <c r="G17" i="11"/>
  <c r="D21" i="11"/>
  <c r="J21" i="11" s="1"/>
  <c r="E21" i="11"/>
  <c r="G21" i="11"/>
  <c r="D216" i="11"/>
  <c r="J216" i="11" s="1"/>
  <c r="E216" i="11"/>
  <c r="G216" i="11"/>
  <c r="D217" i="11"/>
  <c r="J217" i="11" s="1"/>
  <c r="E217" i="11"/>
  <c r="G217" i="11"/>
  <c r="D218" i="11"/>
  <c r="H218" i="11" s="1"/>
  <c r="E218" i="11"/>
  <c r="G218" i="11"/>
  <c r="D219" i="11"/>
  <c r="H219" i="11" s="1"/>
  <c r="E219" i="11"/>
  <c r="G219" i="11"/>
  <c r="D220" i="11"/>
  <c r="J220" i="11" s="1"/>
  <c r="E220" i="11"/>
  <c r="G220" i="11"/>
  <c r="D221" i="11"/>
  <c r="J221" i="11" s="1"/>
  <c r="E221" i="11"/>
  <c r="G221" i="11"/>
  <c r="D222" i="11"/>
  <c r="H222" i="11" s="1"/>
  <c r="E222" i="11"/>
  <c r="G222" i="11"/>
  <c r="D223" i="11"/>
  <c r="H223" i="11" s="1"/>
  <c r="E223" i="11"/>
  <c r="G223" i="11"/>
  <c r="D224" i="11"/>
  <c r="H224" i="11" s="1"/>
  <c r="E224" i="11"/>
  <c r="G224" i="11"/>
  <c r="F214" i="11"/>
  <c r="F213" i="11"/>
  <c r="F212" i="11"/>
  <c r="F211" i="11"/>
  <c r="F210" i="11"/>
  <c r="D23" i="11"/>
  <c r="H23" i="11" s="1"/>
  <c r="E23" i="11"/>
  <c r="D201" i="11"/>
  <c r="J201" i="11" s="1"/>
  <c r="E201" i="11"/>
  <c r="G201" i="11"/>
  <c r="D202" i="11"/>
  <c r="E202" i="11"/>
  <c r="G202" i="11"/>
  <c r="D203" i="11"/>
  <c r="J203" i="11" s="1"/>
  <c r="E203" i="11"/>
  <c r="G203" i="11"/>
  <c r="D204" i="11"/>
  <c r="J204" i="11" s="1"/>
  <c r="E204" i="11"/>
  <c r="G204" i="11"/>
  <c r="D205" i="11"/>
  <c r="E205" i="11"/>
  <c r="G205" i="11"/>
  <c r="D206" i="11"/>
  <c r="E206" i="11"/>
  <c r="G206" i="11"/>
  <c r="D207" i="11"/>
  <c r="E207" i="11"/>
  <c r="G207" i="11"/>
  <c r="D209" i="11"/>
  <c r="J209" i="11" s="1"/>
  <c r="E209" i="11"/>
  <c r="G209" i="11"/>
  <c r="D210" i="11"/>
  <c r="H210" i="11" s="1"/>
  <c r="E210" i="11"/>
  <c r="G210" i="11"/>
  <c r="D211" i="11"/>
  <c r="H211" i="11" s="1"/>
  <c r="E211" i="11"/>
  <c r="G211" i="11"/>
  <c r="D212" i="11"/>
  <c r="H212" i="11" s="1"/>
  <c r="E212" i="11"/>
  <c r="G212" i="11"/>
  <c r="D213" i="11"/>
  <c r="J213" i="11" s="1"/>
  <c r="E213" i="11"/>
  <c r="G213" i="11"/>
  <c r="D214" i="11"/>
  <c r="H214" i="11" s="1"/>
  <c r="E214" i="11"/>
  <c r="G214" i="11"/>
  <c r="D215" i="11"/>
  <c r="J215" i="11" s="1"/>
  <c r="E215" i="11"/>
  <c r="G215" i="11"/>
  <c r="D233" i="11"/>
  <c r="J233" i="11" s="1"/>
  <c r="E233" i="11"/>
  <c r="G233" i="11"/>
  <c r="D20" i="60"/>
  <c r="H206" i="11" l="1"/>
  <c r="J207" i="11"/>
  <c r="I200" i="11"/>
  <c r="H200" i="11"/>
  <c r="J184" i="11"/>
  <c r="J183" i="11"/>
  <c r="J175" i="11"/>
  <c r="I179" i="11"/>
  <c r="I175" i="11"/>
  <c r="I181" i="11"/>
  <c r="H181" i="11"/>
  <c r="H177" i="11"/>
  <c r="I177" i="11"/>
  <c r="I185" i="11"/>
  <c r="I183" i="11"/>
  <c r="I182" i="11"/>
  <c r="J156" i="11"/>
  <c r="H185" i="11"/>
  <c r="H179" i="11"/>
  <c r="I178" i="11"/>
  <c r="I184" i="11"/>
  <c r="I169" i="11"/>
  <c r="J168" i="11"/>
  <c r="H184" i="11"/>
  <c r="J182" i="11"/>
  <c r="H180" i="11"/>
  <c r="J178" i="11"/>
  <c r="H176" i="11"/>
  <c r="J169" i="11"/>
  <c r="I180" i="11"/>
  <c r="I176" i="11"/>
  <c r="I168" i="11"/>
  <c r="I164" i="11"/>
  <c r="J160" i="11"/>
  <c r="I172" i="11"/>
  <c r="H160" i="11"/>
  <c r="J173" i="11"/>
  <c r="J172" i="11"/>
  <c r="H164" i="11"/>
  <c r="J165" i="11"/>
  <c r="H161" i="11"/>
  <c r="I158" i="11"/>
  <c r="I157" i="11"/>
  <c r="I173" i="11"/>
  <c r="I165" i="11"/>
  <c r="I161" i="11"/>
  <c r="H156" i="11"/>
  <c r="H170" i="11"/>
  <c r="H166" i="11"/>
  <c r="H162" i="11"/>
  <c r="H157" i="11"/>
  <c r="I162" i="11"/>
  <c r="H158" i="11"/>
  <c r="I170" i="11"/>
  <c r="I166" i="11"/>
  <c r="I163" i="11"/>
  <c r="I155" i="11"/>
  <c r="H171" i="11"/>
  <c r="H167" i="11"/>
  <c r="H163" i="11"/>
  <c r="H159" i="11"/>
  <c r="H155" i="11"/>
  <c r="I171" i="11"/>
  <c r="I167" i="11"/>
  <c r="I159" i="11"/>
  <c r="J119" i="11"/>
  <c r="I119" i="11"/>
  <c r="J118" i="11"/>
  <c r="J116" i="11"/>
  <c r="I118" i="11"/>
  <c r="J117" i="11"/>
  <c r="I116" i="11"/>
  <c r="I117" i="11"/>
  <c r="I114" i="11"/>
  <c r="H118" i="11"/>
  <c r="H114" i="11"/>
  <c r="I115" i="11"/>
  <c r="H115" i="11"/>
  <c r="J111" i="11"/>
  <c r="I109" i="11"/>
  <c r="H113" i="11"/>
  <c r="J107" i="11"/>
  <c r="J112" i="11"/>
  <c r="H109" i="11"/>
  <c r="I105" i="11"/>
  <c r="I101" i="11"/>
  <c r="H112" i="11"/>
  <c r="I111" i="11"/>
  <c r="J110" i="11"/>
  <c r="H108" i="11"/>
  <c r="I107" i="11"/>
  <c r="I112" i="11"/>
  <c r="I108" i="11"/>
  <c r="J113" i="11"/>
  <c r="I110" i="11"/>
  <c r="J109" i="11"/>
  <c r="H105" i="11"/>
  <c r="J103" i="11"/>
  <c r="I100" i="11"/>
  <c r="I104" i="11"/>
  <c r="H101" i="11"/>
  <c r="J99" i="11"/>
  <c r="J106" i="11"/>
  <c r="H104" i="11"/>
  <c r="I103" i="11"/>
  <c r="J102" i="11"/>
  <c r="H100" i="11"/>
  <c r="I99" i="11"/>
  <c r="I106" i="11"/>
  <c r="J105" i="11"/>
  <c r="I102" i="11"/>
  <c r="J101" i="11"/>
  <c r="J17" i="11"/>
  <c r="I15" i="11"/>
  <c r="I17" i="11"/>
  <c r="H15" i="11"/>
  <c r="I16" i="11"/>
  <c r="H21" i="11"/>
  <c r="H16" i="11"/>
  <c r="I21" i="11"/>
  <c r="I222" i="11"/>
  <c r="I218" i="11"/>
  <c r="I220" i="11"/>
  <c r="I216" i="11"/>
  <c r="I224" i="11"/>
  <c r="I223" i="11"/>
  <c r="J222" i="11"/>
  <c r="H220" i="11"/>
  <c r="I219" i="11"/>
  <c r="J218" i="11"/>
  <c r="H216" i="11"/>
  <c r="I221" i="11"/>
  <c r="I217" i="11"/>
  <c r="J224" i="11"/>
  <c r="J223" i="11"/>
  <c r="H221" i="11"/>
  <c r="J219" i="11"/>
  <c r="H217" i="11"/>
  <c r="H202" i="11"/>
  <c r="H205" i="11"/>
  <c r="J212" i="11"/>
  <c r="I207" i="11"/>
  <c r="I212" i="11"/>
  <c r="I210" i="11"/>
  <c r="H207" i="11"/>
  <c r="J206" i="11"/>
  <c r="J205" i="11"/>
  <c r="J210" i="11"/>
  <c r="J23" i="11"/>
  <c r="I203" i="11"/>
  <c r="H203" i="11"/>
  <c r="J202" i="11"/>
  <c r="J211" i="11"/>
  <c r="I23" i="11"/>
  <c r="J214" i="11"/>
  <c r="I205" i="11"/>
  <c r="I213" i="11"/>
  <c r="H233" i="11"/>
  <c r="H215" i="11"/>
  <c r="I214" i="11"/>
  <c r="H213" i="11"/>
  <c r="H209" i="11"/>
  <c r="H204" i="11"/>
  <c r="H201" i="11"/>
  <c r="I233" i="11"/>
  <c r="I215" i="11"/>
  <c r="I209" i="11"/>
  <c r="I204" i="11"/>
  <c r="I201" i="11"/>
  <c r="I211" i="11"/>
  <c r="I206" i="11"/>
  <c r="I202" i="11"/>
  <c r="D14" i="11"/>
  <c r="J14" i="11" s="1"/>
  <c r="E14" i="11"/>
  <c r="G14" i="11"/>
  <c r="K19" i="60"/>
  <c r="D19" i="60"/>
  <c r="K158" i="11" l="1"/>
  <c r="K109" i="11"/>
  <c r="K181" i="11"/>
  <c r="K17" i="11"/>
  <c r="K212" i="11"/>
  <c r="K222" i="11"/>
  <c r="K102" i="11"/>
  <c r="K163" i="11"/>
  <c r="K200" i="11"/>
  <c r="K175" i="11"/>
  <c r="K173" i="11"/>
  <c r="K179" i="11"/>
  <c r="K160" i="11"/>
  <c r="K183" i="11"/>
  <c r="K165" i="11"/>
  <c r="K182" i="11"/>
  <c r="K164" i="11"/>
  <c r="K168" i="11"/>
  <c r="K177" i="11"/>
  <c r="K161" i="11"/>
  <c r="K157" i="11"/>
  <c r="K156" i="11"/>
  <c r="K172" i="11"/>
  <c r="K169" i="11"/>
  <c r="K185" i="11"/>
  <c r="K178" i="11"/>
  <c r="K176" i="11"/>
  <c r="K184" i="11"/>
  <c r="K180" i="11"/>
  <c r="K170" i="11"/>
  <c r="K162" i="11"/>
  <c r="K166" i="11"/>
  <c r="K167" i="11"/>
  <c r="K155" i="11"/>
  <c r="K171" i="11"/>
  <c r="K159" i="11"/>
  <c r="K116" i="11"/>
  <c r="K119" i="11"/>
  <c r="K117" i="11"/>
  <c r="K115" i="11"/>
  <c r="K103" i="11"/>
  <c r="K111" i="11"/>
  <c r="K107" i="11"/>
  <c r="K118" i="11"/>
  <c r="K110" i="11"/>
  <c r="K114" i="11"/>
  <c r="K113" i="11"/>
  <c r="K112" i="11"/>
  <c r="K100" i="11"/>
  <c r="K108" i="11"/>
  <c r="K105" i="11"/>
  <c r="K101" i="11"/>
  <c r="K106" i="11"/>
  <c r="K99" i="11"/>
  <c r="K104" i="11"/>
  <c r="K16" i="11"/>
  <c r="K15" i="11"/>
  <c r="K21" i="11"/>
  <c r="K221" i="11"/>
  <c r="K218" i="11"/>
  <c r="K224" i="11"/>
  <c r="K220" i="11"/>
  <c r="K219" i="11"/>
  <c r="K223" i="11"/>
  <c r="K217" i="11"/>
  <c r="K216" i="11"/>
  <c r="K213" i="11"/>
  <c r="K23" i="11"/>
  <c r="K207" i="11"/>
  <c r="K203" i="11"/>
  <c r="K210" i="11"/>
  <c r="K214" i="11"/>
  <c r="K205" i="11"/>
  <c r="K211" i="11"/>
  <c r="K206" i="11"/>
  <c r="K202" i="11"/>
  <c r="K209" i="11"/>
  <c r="K215" i="11"/>
  <c r="K233" i="11"/>
  <c r="K201" i="11"/>
  <c r="K20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D9" i="59" l="1"/>
  <c r="K7" i="54" s="1"/>
  <c r="H8" i="54" l="1"/>
  <c r="I8" i="54"/>
  <c r="H7" i="54"/>
  <c r="I7" i="54"/>
  <c r="A15" i="11" l="1"/>
  <c r="D23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34" i="11"/>
  <c r="D235" i="11"/>
  <c r="H235" i="11" s="1"/>
  <c r="E23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23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4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3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35" i="11"/>
  <c r="I23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235" i="1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37" i="11"/>
  <c r="H238" i="11" s="1"/>
  <c r="I237" i="11"/>
  <c r="I238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4" i="29" l="1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39" i="11"/>
  <c r="I239" i="11"/>
  <c r="F364" i="29"/>
  <c r="F69" i="39"/>
  <c r="F72" i="39"/>
  <c r="F367" i="29"/>
  <c r="J234" i="11"/>
  <c r="K234" i="11" s="1"/>
  <c r="K237" i="11" s="1"/>
  <c r="K238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237" i="11"/>
  <c r="J238" i="11" s="1"/>
  <c r="K239" i="11"/>
  <c r="B24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3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4" i="41" l="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<sst xmlns="http://schemas.openxmlformats.org/spreadsheetml/2006/main" count="4941" uniqueCount="1661">
  <si>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</si>
  <si>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</si>
  <si>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</si>
  <si>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</si>
  <si>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</si>
  <si>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</si>
  <si>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</si>
  <si>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</si>
  <si>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</si>
  <si>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</si>
  <si>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</si>
  <si>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</si>
  <si>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</si>
  <si>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</si>
  <si>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</si>
  <si>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</si>
  <si>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</si>
  <si>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</si>
  <si>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</si>
  <si>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</si>
  <si>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</si>
  <si>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</si>
  <si>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</si>
  <si>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</si>
  <si>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</si>
  <si>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</si>
  <si>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</si>
  <si>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</si>
  <si>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</si>
  <si>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</si>
  <si>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</si>
  <si>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</si>
  <si>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</si>
  <si>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</si>
  <si>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</si>
  <si>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</si>
  <si>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</si>
  <si>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</si>
  <si>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</si>
  <si>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</si>
  <si>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</si>
  <si>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</si>
  <si>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</si>
  <si>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</si>
  <si>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</si>
  <si>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</si>
  <si>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</si>
  <si>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</si>
  <si>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</si>
  <si>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</si>
  <si>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</si>
  <si>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</si>
  <si>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</si>
  <si>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</si>
  <si>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</si>
  <si>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</si>
  <si>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</si>
  <si>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</si>
  <si>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</si>
  <si>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</si>
  <si>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</si>
  <si>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</si>
  <si>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</si>
  <si>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</si>
  <si>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</si>
  <si>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</si>
  <si>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</si>
  <si>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</si>
  <si>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</si>
  <si>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</si>
  <si>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</si>
  <si>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</si>
  <si>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</si>
  <si>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</si>
  <si>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</si>
  <si>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</si>
  <si>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</si>
  <si>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</si>
  <si>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</si>
  <si>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</si>
  <si>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</si>
  <si>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</si>
  <si>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</si>
  <si>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</si>
  <si>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</si>
  <si>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</si>
  <si>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</si>
  <si>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</si>
  <si>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</si>
  <si>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</si>
  <si>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</si>
  <si>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</si>
  <si>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</si>
  <si>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</si>
  <si>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</si>
  <si>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</si>
  <si>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</si>
  <si>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</si>
  <si>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</si>
  <si>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</si>
  <si>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</si>
  <si>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</si>
  <si>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</si>
  <si>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</si>
  <si>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</si>
  <si>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</si>
  <si>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</si>
  <si>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</si>
  <si>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</si>
  <si>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</si>
  <si>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</si>
  <si>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</si>
  <si>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</si>
  <si>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</si>
  <si>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</si>
  <si>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</si>
  <si>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</si>
  <si>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</si>
  <si>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</si>
  <si>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</si>
  <si>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</si>
  <si>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</si>
  <si>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</si>
  <si>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</si>
  <si>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</si>
  <si>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</si>
  <si>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</si>
  <si>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</si>
  <si>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</si>
  <si>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</si>
  <si>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</si>
  <si>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</si>
  <si>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</si>
  <si>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</si>
  <si>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</si>
  <si>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</si>
  <si>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</si>
  <si>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</si>
  <si>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</si>
  <si>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</si>
  <si>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</si>
  <si>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</si>
  <si>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</si>
  <si>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</si>
  <si>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</si>
  <si>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</si>
  <si>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</si>
  <si>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</si>
  <si>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</si>
  <si>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</si>
  <si>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</si>
  <si>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</si>
  <si>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</si>
  <si>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</si>
  <si>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</si>
  <si>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</si>
  <si>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</si>
  <si>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</si>
  <si>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</si>
  <si>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</si>
  <si>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</si>
  <si>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</si>
  <si>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</si>
  <si>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</si>
  <si>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</si>
  <si>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</si>
  <si>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</si>
  <si>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</si>
  <si>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</si>
  <si>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</si>
  <si>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</si>
  <si>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</si>
  <si>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</si>
  <si>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</si>
  <si>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</si>
  <si>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</si>
  <si>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</si>
  <si>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</si>
  <si>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</si>
  <si>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</si>
  <si>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</si>
  <si>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</si>
  <si>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</si>
  <si>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</si>
  <si>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</si>
  <si>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</si>
  <si>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</si>
  <si>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</si>
  <si>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</si>
  <si>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</si>
  <si>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</si>
  <si>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</si>
  <si>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</si>
  <si>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</si>
  <si>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</si>
  <si>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</si>
  <si>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</si>
  <si>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</si>
  <si>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</si>
  <si>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</si>
  <si>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</si>
  <si>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</si>
  <si>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</si>
  <si>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</si>
  <si>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</si>
  <si>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</si>
  <si>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</si>
  <si>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</si>
  <si>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</si>
  <si>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</si>
  <si>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</si>
  <si>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</si>
  <si>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</si>
  <si>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</si>
  <si>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</si>
  <si>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</si>
  <si>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</si>
  <si>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</si>
  <si>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</si>
  <si>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</si>
  <si>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</si>
  <si>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</si>
  <si>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</si>
  <si>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</si>
  <si>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</si>
  <si>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</si>
  <si>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</si>
  <si>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</si>
  <si>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</si>
  <si>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</si>
  <si>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</si>
  <si>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</si>
  <si>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</si>
  <si>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</si>
  <si>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</si>
  <si>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</si>
  <si>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</si>
  <si>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</si>
  <si>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</si>
  <si>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</si>
  <si>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</si>
  <si>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</si>
  <si>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</si>
  <si>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</si>
  <si>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</si>
  <si>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</si>
  <si>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</si>
  <si>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</si>
  <si>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</si>
  <si>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</si>
  <si>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</si>
  <si>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</si>
  <si>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</si>
  <si>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</si>
  <si>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</si>
  <si>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</si>
  <si>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</si>
  <si>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</si>
  <si>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</si>
  <si>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</si>
  <si>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</si>
  <si>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</si>
  <si>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</si>
  <si>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</si>
  <si>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</si>
  <si>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</si>
  <si>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</si>
  <si>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</si>
  <si>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</si>
  <si>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</si>
  <si>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</si>
  <si>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</si>
  <si>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</si>
  <si>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</si>
  <si>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</si>
  <si>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</si>
  <si>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</si>
  <si>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</si>
  <si>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</si>
  <si>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</si>
  <si>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</si>
  <si>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</si>
  <si>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</si>
  <si>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</si>
  <si>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</si>
  <si>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</si>
  <si>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</si>
  <si>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</si>
  <si>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</si>
  <si>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</si>
  <si>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</si>
  <si>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</si>
  <si>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</si>
  <si>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</si>
  <si>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</si>
  <si>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</si>
  <si>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</si>
  <si>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</si>
  <si>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</si>
  <si>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</si>
  <si>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</si>
  <si>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</si>
  <si>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</si>
  <si>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</si>
  <si>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</si>
  <si>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</si>
  <si>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</si>
  <si>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</si>
  <si>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</si>
  <si>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</si>
  <si>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</si>
  <si>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</si>
  <si>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</si>
  <si>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</si>
  <si>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</si>
  <si>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</si>
  <si>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</si>
  <si>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</si>
  <si>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</si>
  <si>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</si>
  <si>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</si>
  <si>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</si>
  <si>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</si>
  <si>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</si>
  <si>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</si>
  <si>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</si>
  <si>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</si>
  <si>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</si>
  <si>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</si>
  <si>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</si>
  <si>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</si>
  <si>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</si>
  <si>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</si>
  <si>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</si>
  <si>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</si>
  <si>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</si>
  <si>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</si>
  <si>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</si>
  <si>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</si>
  <si>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</si>
  <si>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</si>
  <si>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</si>
  <si>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</si>
  <si>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</si>
  <si>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</si>
  <si>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</si>
  <si>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</si>
  <si>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</si>
  <si>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</si>
  <si>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</si>
  <si>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</si>
  <si>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</si>
  <si>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</si>
  <si>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</si>
  <si>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</si>
  <si>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</si>
  <si>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</si>
  <si>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</si>
  <si>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</si>
  <si>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</si>
  <si>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</si>
  <si>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</si>
  <si>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</si>
  <si>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</si>
  <si>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</si>
  <si>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</si>
  <si>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</si>
  <si>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</si>
  <si>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</si>
  <si>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</si>
  <si>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</si>
  <si>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</si>
  <si>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</si>
  <si>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</si>
  <si>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</si>
  <si>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</si>
  <si>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</si>
  <si>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</si>
  <si>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</si>
  <si>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</si>
  <si>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</si>
  <si>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</si>
  <si>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</si>
  <si>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</si>
  <si>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</si>
  <si>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</si>
  <si>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</si>
  <si>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</si>
  <si>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</si>
  <si>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</si>
  <si>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</si>
  <si>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</si>
  <si>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</si>
  <si>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</si>
  <si>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</si>
  <si>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</si>
  <si>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</si>
  <si>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</si>
  <si>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</si>
  <si>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</si>
  <si>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</si>
  <si>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</si>
  <si>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</si>
  <si>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</si>
  <si>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</si>
  <si>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</si>
  <si>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</si>
  <si>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</si>
  <si>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</si>
  <si>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</si>
  <si>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</si>
  <si>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</si>
  <si>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</si>
  <si>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</si>
  <si>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</si>
  <si>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</si>
  <si>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</si>
  <si>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</si>
  <si>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</si>
  <si>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</si>
  <si>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</si>
  <si>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</si>
  <si>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</si>
  <si>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</si>
  <si>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</si>
  <si>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</si>
  <si>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</si>
  <si>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</si>
  <si>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</si>
  <si>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</si>
  <si>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</si>
  <si>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</si>
  <si>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</si>
  <si>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</si>
  <si>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</si>
  <si>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</si>
  <si>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</si>
  <si>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</si>
  <si>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</si>
  <si>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</si>
  <si>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</si>
  <si>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</si>
  <si>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</si>
  <si>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</si>
  <si>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</si>
  <si>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</si>
  <si>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</si>
  <si>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</si>
  <si>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</si>
  <si>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</si>
  <si>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</si>
  <si>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</si>
  <si>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</si>
  <si>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</si>
  <si>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</si>
  <si>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</si>
  <si>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</si>
  <si>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</si>
  <si>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</si>
  <si>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</si>
  <si>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</si>
  <si>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</si>
  <si>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</si>
  <si>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</si>
  <si>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</si>
  <si>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</si>
  <si>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</si>
  <si>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</si>
  <si>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</si>
  <si>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</si>
  <si>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</si>
  <si>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</si>
  <si>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</si>
  <si>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</si>
  <si>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</si>
  <si>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</si>
  <si>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</si>
  <si>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</si>
  <si>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</si>
  <si>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</si>
  <si>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</si>
  <si>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</si>
  <si>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</si>
  <si>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</si>
  <si>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</si>
  <si>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</si>
  <si>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</si>
  <si>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</si>
  <si>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</si>
  <si>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</si>
  <si>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</si>
  <si>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</si>
  <si>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</si>
  <si>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</si>
  <si>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</si>
  <si>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</si>
  <si>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</si>
  <si>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</si>
  <si>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</si>
  <si>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</si>
  <si>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</si>
  <si>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</si>
  <si>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</si>
  <si>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</si>
  <si>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</si>
  <si>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</si>
  <si>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</si>
  <si>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</si>
  <si>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</si>
  <si>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</si>
  <si>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</si>
  <si>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</si>
  <si>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</si>
  <si>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</si>
  <si>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</si>
  <si>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</si>
  <si>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</si>
  <si>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</si>
  <si>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</si>
  <si>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</si>
  <si>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</si>
  <si>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</si>
  <si>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</si>
  <si>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</si>
  <si>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</si>
  <si>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</si>
  <si>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</si>
  <si>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</si>
  <si>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</si>
  <si>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</si>
  <si>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</si>
  <si>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</si>
  <si>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</si>
  <si>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</si>
  <si>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</si>
  <si>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</si>
  <si>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</si>
  <si>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</si>
  <si>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</si>
  <si>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</si>
  <si>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</si>
  <si>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</si>
  <si>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</si>
  <si>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</si>
  <si>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</si>
  <si>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</si>
  <si>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</si>
  <si>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</si>
  <si>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</si>
  <si>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</si>
  <si>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</si>
  <si>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</si>
  <si>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</si>
  <si>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</si>
  <si>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</si>
  <si>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</si>
  <si>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</si>
  <si>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</si>
  <si>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</si>
  <si>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</si>
  <si>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</si>
  <si>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</si>
  <si>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</si>
  <si>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</si>
  <si>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</si>
  <si>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</si>
  <si>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</si>
  <si>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</si>
  <si>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</si>
  <si>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</si>
  <si>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</si>
  <si>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</si>
  <si>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</si>
  <si>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</si>
  <si>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</si>
  <si>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</si>
  <si>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</si>
  <si>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</si>
  <si>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</si>
  <si>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</si>
  <si>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</si>
  <si>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</si>
  <si>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</si>
  <si>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</si>
  <si>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</si>
  <si>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</si>
  <si>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</si>
  <si>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</si>
  <si>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</si>
  <si>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</si>
  <si>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</si>
  <si>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</si>
  <si>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</si>
  <si>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</si>
  <si>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</si>
  <si>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</si>
  <si>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</si>
  <si>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</si>
  <si>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</si>
  <si>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</si>
  <si>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</si>
  <si>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</si>
  <si>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</si>
  <si>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</si>
  <si>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</si>
  <si>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</si>
  <si>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</si>
  <si>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</si>
  <si>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</si>
  <si>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</si>
  <si>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</si>
  <si>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</si>
  <si>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</si>
  <si>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</si>
  <si>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</si>
  <si>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</si>
  <si>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</si>
  <si>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</si>
  <si>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</si>
  <si>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</si>
  <si>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</si>
  <si>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</si>
  <si>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</si>
  <si>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</si>
  <si>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</si>
  <si>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</si>
  <si>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</si>
  <si>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</si>
  <si>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</si>
  <si>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</si>
  <si>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</si>
  <si>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</si>
  <si>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</si>
  <si>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</si>
  <si>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</si>
  <si>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</si>
  <si>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</si>
  <si>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</si>
  <si>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</si>
  <si>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</si>
  <si>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</si>
  <si>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</si>
  <si>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</si>
  <si>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</si>
  <si>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</si>
  <si>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</si>
  <si>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</si>
  <si>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</si>
  <si>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</si>
  <si>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</si>
  <si>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</si>
  <si>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</si>
  <si>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</si>
  <si>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</si>
  <si>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</si>
  <si>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</si>
  <si>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</si>
  <si>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</si>
  <si>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</si>
  <si>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</si>
  <si>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</si>
  <si>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</si>
  <si>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</si>
  <si>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</si>
  <si>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</si>
  <si>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</si>
  <si>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</si>
  <si>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</si>
  <si>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</si>
  <si>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</si>
  <si>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</si>
  <si>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</si>
  <si>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</si>
  <si>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</si>
  <si>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</si>
  <si>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</si>
  <si>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</si>
  <si>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</si>
  <si>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</si>
  <si>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</si>
  <si>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</si>
  <si>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</si>
  <si>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</si>
  <si>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</si>
  <si>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</si>
  <si>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</si>
  <si>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</si>
  <si>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</si>
  <si>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</si>
  <si>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</si>
  <si>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</si>
  <si>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</si>
  <si>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</si>
  <si>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</si>
  <si>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</si>
  <si>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</si>
  <si>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</si>
  <si>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</si>
  <si>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</si>
  <si>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</si>
  <si>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</si>
  <si>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</si>
  <si>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</si>
  <si>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</si>
  <si>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</si>
  <si>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</si>
  <si>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</si>
  <si>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</si>
  <si>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</si>
  <si>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</si>
  <si>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</si>
  <si>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</si>
  <si>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</si>
  <si>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</si>
  <si>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</si>
  <si>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</si>
  <si>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</si>
  <si>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</si>
  <si>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</si>
  <si>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</si>
  <si>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</si>
  <si>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</si>
  <si>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</si>
  <si>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</si>
  <si>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</si>
  <si>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</si>
  <si>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</si>
  <si>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</si>
  <si>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</si>
  <si>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</si>
  <si>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</si>
  <si>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</si>
  <si>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</si>
  <si>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</si>
  <si>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</si>
  <si>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</si>
  <si>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</si>
  <si>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</si>
  <si>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</si>
  <si>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</si>
  <si>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</si>
  <si>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</si>
  <si>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</si>
  <si>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</si>
  <si>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</si>
  <si>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</si>
  <si>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</si>
  <si>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</si>
  <si>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</si>
  <si>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</si>
  <si>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</si>
  <si>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</si>
  <si>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</si>
  <si>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</si>
  <si>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</si>
  <si>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</si>
  <si>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</si>
  <si>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</si>
  <si>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</si>
  <si>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</si>
  <si>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</si>
  <si>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</si>
  <si>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</si>
  <si>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</si>
  <si>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</si>
  <si>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</si>
  <si>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</si>
  <si>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</si>
  <si>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</si>
  <si>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</si>
  <si>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</si>
  <si>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</si>
  <si>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</si>
  <si>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</si>
  <si>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</si>
  <si>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</si>
  <si>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</si>
  <si>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</si>
  <si>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</si>
  <si>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</si>
  <si>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</si>
  <si>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</si>
  <si>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</si>
  <si>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</si>
  <si>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</si>
  <si>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</si>
  <si>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</si>
  <si>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</si>
  <si>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</si>
  <si>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</si>
  <si>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</si>
  <si>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</si>
  <si>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</si>
  <si>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</si>
  <si>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</si>
  <si>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</si>
  <si>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</si>
  <si>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</si>
  <si>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</si>
  <si>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</si>
  <si>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</si>
  <si>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</si>
  <si>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</si>
  <si>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</si>
  <si>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</si>
  <si>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</si>
  <si>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</si>
  <si>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</si>
  <si>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</si>
  <si>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</si>
  <si>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</si>
  <si>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</si>
  <si>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</si>
  <si>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</si>
  <si>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</si>
  <si>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</si>
  <si>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</si>
  <si>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</si>
  <si>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</si>
  <si>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</si>
  <si>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</si>
  <si>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</si>
  <si>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</si>
  <si>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</si>
  <si>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</si>
  <si>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</si>
  <si>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</si>
  <si>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</si>
  <si>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</si>
  <si>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</si>
  <si>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</si>
  <si>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</si>
  <si>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</si>
  <si>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</si>
  <si>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</si>
  <si>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</si>
  <si>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</si>
  <si>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</si>
  <si>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</si>
  <si>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</si>
  <si>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</si>
  <si>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</si>
  <si>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</si>
  <si>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</si>
  <si>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</si>
  <si>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</si>
  <si>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</si>
  <si>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</si>
  <si>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</si>
  <si>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</si>
  <si>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</si>
  <si>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</si>
  <si>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</si>
  <si>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</si>
  <si>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</si>
  <si>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</si>
  <si>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</si>
  <si>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</si>
  <si>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</si>
  <si>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</si>
  <si>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</si>
  <si>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</si>
  <si>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</si>
  <si>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</si>
  <si>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</si>
  <si>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</si>
  <si>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</si>
  <si>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</si>
  <si>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</si>
  <si>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</si>
  <si>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</si>
  <si>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</si>
  <si>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</si>
  <si>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</si>
  <si>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</si>
  <si>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</si>
  <si>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</si>
  <si>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</si>
  <si>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</si>
  <si>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</si>
  <si>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</si>
  <si>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</si>
  <si>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</si>
  <si>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</si>
  <si>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</si>
  <si>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</si>
  <si>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</si>
  <si>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</si>
  <si>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</si>
  <si>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</si>
  <si>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</si>
  <si>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</si>
  <si>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</si>
  <si>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</si>
  <si>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</si>
  <si>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</si>
  <si>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</si>
  <si>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</si>
  <si>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</si>
  <si>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</si>
  <si>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</si>
  <si>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</si>
  <si>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</si>
  <si>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</si>
  <si>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</si>
  <si>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</si>
  <si>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</si>
  <si>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</si>
  <si>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</si>
  <si>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</si>
  <si>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</si>
  <si>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</si>
  <si>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</si>
  <si>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</si>
  <si>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</si>
  <si>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</si>
  <si>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</si>
  <si>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</si>
  <si>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</si>
  <si>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</si>
  <si>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</si>
  <si>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</si>
  <si>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</si>
  <si>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</si>
  <si>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</si>
  <si>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</si>
  <si>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</si>
  <si>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</si>
  <si>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</si>
  <si>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</si>
  <si>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</si>
  <si>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</si>
  <si>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</si>
  <si>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</si>
  <si>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</si>
  <si>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</si>
  <si>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</si>
  <si>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</si>
  <si>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</si>
  <si>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</si>
  <si>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</si>
  <si>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</si>
  <si>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</si>
  <si>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</si>
  <si>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</si>
  <si>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</si>
  <si>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</si>
  <si>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</si>
  <si>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</si>
  <si>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</si>
  <si>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</si>
  <si>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</si>
  <si>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</si>
  <si>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</si>
  <si>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</si>
  <si>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</si>
  <si>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</si>
  <si>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</si>
  <si>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</si>
  <si>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</si>
  <si>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</si>
  <si>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</si>
  <si>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</si>
  <si>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</si>
  <si>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</si>
  <si>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</si>
  <si>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</si>
  <si>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</si>
  <si>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</si>
  <si>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</si>
  <si>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</si>
  <si>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</si>
  <si>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</si>
  <si>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</si>
  <si>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</si>
  <si>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</si>
  <si>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</si>
  <si>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</si>
  <si>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</si>
  <si>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</si>
  <si>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</si>
  <si>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</si>
  <si>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</si>
  <si>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</si>
  <si>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</si>
  <si>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</si>
  <si>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</si>
  <si>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</si>
  <si>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</si>
  <si>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</si>
  <si>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</si>
  <si>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</si>
  <si>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</si>
  <si>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</si>
  <si>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</si>
  <si>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</si>
  <si>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</si>
  <si>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</si>
  <si>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</si>
  <si>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</si>
  <si>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</si>
  <si>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</si>
  <si>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</si>
  <si>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</si>
  <si>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</si>
  <si>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</si>
  <si>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</si>
  <si>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</si>
  <si>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</si>
  <si>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</si>
  <si>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</si>
  <si>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</si>
  <si>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</si>
  <si>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</si>
  <si>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</si>
  <si>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</si>
  <si>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</si>
  <si>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</si>
  <si>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</si>
  <si>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</si>
  <si>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</si>
  <si>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</si>
  <si>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</si>
  <si>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</si>
  <si>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</si>
  <si>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</si>
  <si>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</si>
  <si>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</si>
  <si>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</si>
  <si>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</si>
  <si>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</si>
  <si>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</si>
  <si>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</si>
  <si>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</si>
  <si>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</si>
  <si>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</si>
  <si>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</si>
  <si>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</si>
  <si>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</si>
  <si>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</si>
  <si>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</si>
  <si>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</si>
  <si>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</si>
  <si>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</si>
  <si>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</si>
  <si>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</si>
  <si>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</si>
  <si>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</si>
  <si>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</si>
  <si>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</si>
  <si>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</si>
  <si>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</si>
  <si>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</si>
  <si>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</si>
  <si>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</si>
  <si>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</si>
  <si>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</si>
  <si>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</si>
  <si>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</si>
  <si>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</si>
  <si>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</si>
  <si>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</si>
  <si>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</si>
  <si>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</si>
  <si>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</si>
  <si>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</si>
  <si>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</si>
  <si>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</si>
  <si>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</si>
  <si>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</si>
  <si>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</si>
  <si>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</si>
  <si>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</si>
  <si>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</si>
  <si>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</si>
  <si>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</si>
  <si>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</si>
  <si>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</si>
  <si>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</si>
  <si>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</si>
  <si>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</si>
  <si>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</si>
  <si>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</si>
  <si>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</si>
  <si>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</si>
  <si>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</si>
  <si>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</si>
  <si>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</si>
  <si>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</si>
  <si>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</si>
  <si>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</si>
  <si>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</si>
  <si>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</si>
  <si>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</si>
  <si>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</si>
  <si>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</si>
  <si>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</si>
  <si>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</si>
  <si>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</si>
  <si>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</si>
  <si>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</si>
  <si>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</si>
  <si>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</si>
  <si>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</si>
  <si>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</si>
  <si>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</si>
  <si>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</si>
  <si>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</si>
  <si>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</si>
  <si>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</si>
  <si>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</si>
  <si>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</si>
  <si>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</si>
  <si>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</si>
  <si>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</si>
  <si>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</si>
  <si>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</si>
  <si>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</si>
  <si>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</si>
  <si>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</si>
  <si>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</si>
  <si>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</si>
  <si>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</si>
  <si>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</si>
  <si>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</si>
  <si>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</si>
  <si>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</si>
  <si>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</si>
  <si>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</si>
  <si>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</si>
  <si>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</si>
  <si>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</si>
  <si>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</si>
  <si>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</si>
  <si>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</si>
  <si>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</si>
  <si>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</si>
  <si>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</si>
  <si>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</si>
  <si>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</si>
  <si>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</si>
  <si>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</si>
  <si>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</si>
  <si>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</si>
  <si>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</si>
  <si>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</si>
  <si>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</si>
  <si>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</si>
  <si>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</si>
  <si>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</si>
  <si>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</si>
  <si>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</si>
  <si>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</si>
  <si>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</si>
  <si>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</si>
  <si>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</si>
  <si>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</si>
  <si>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</si>
  <si>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</si>
  <si>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</si>
  <si>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</si>
  <si>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</si>
  <si>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</si>
  <si>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</si>
  <si>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</si>
  <si>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</si>
  <si>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</si>
  <si>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</si>
  <si>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</si>
  <si>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</si>
  <si>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</si>
  <si>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</si>
  <si>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</si>
  <si>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</si>
  <si>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</si>
  <si>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</si>
  <si>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</si>
  <si>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</si>
  <si>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</si>
  <si>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</si>
  <si>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</si>
  <si>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</si>
  <si>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</si>
  <si>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</si>
  <si>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</si>
  <si>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</si>
  <si>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</si>
  <si>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</si>
  <si>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</si>
  <si>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</si>
  <si>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</si>
  <si>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</si>
  <si>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</si>
  <si>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</si>
  <si>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</si>
  <si>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</si>
  <si>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</si>
  <si>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</si>
  <si>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</si>
  <si>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</si>
  <si>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</si>
  <si>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</si>
  <si>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</si>
  <si>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</si>
  <si>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</si>
  <si>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</si>
  <si>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</si>
  <si>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</si>
  <si>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</si>
  <si>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</si>
  <si>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</si>
  <si>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</si>
  <si>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</si>
  <si>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</si>
  <si>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</si>
  <si>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</si>
  <si>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</si>
  <si>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</si>
  <si>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</si>
  <si>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</si>
  <si>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</si>
  <si>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</si>
  <si>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</si>
  <si>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</si>
  <si>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</si>
  <si>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</si>
  <si>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</si>
  <si>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</si>
  <si>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</si>
  <si>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</si>
  <si>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</si>
  <si>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</si>
  <si>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</si>
  <si>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</si>
  <si>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</si>
  <si>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</si>
  <si>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</si>
  <si>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</si>
  <si>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</si>
  <si>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</si>
  <si>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</si>
  <si>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</si>
  <si>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</si>
  <si>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</si>
  <si>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</si>
  <si>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</si>
  <si>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</si>
  <si>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</si>
  <si>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</si>
  <si>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</si>
  <si>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</si>
  <si>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</si>
  <si>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</si>
  <si>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</si>
  <si>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</si>
  <si>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</si>
  <si>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</si>
  <si>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</si>
  <si>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</si>
  <si>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</si>
  <si>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</si>
  <si>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</si>
  <si>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</si>
  <si>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</si>
  <si>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</si>
  <si>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</si>
  <si>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</si>
  <si>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</si>
  <si>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</si>
  <si>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</si>
  <si>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</si>
  <si>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</si>
  <si>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</si>
  <si>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</si>
  <si>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</si>
  <si>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</si>
  <si>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</si>
  <si>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</si>
  <si>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</si>
  <si>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</si>
  <si>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</si>
  <si>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</si>
  <si>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</si>
  <si>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</si>
  <si>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</si>
  <si>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</si>
  <si>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</si>
  <si>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</si>
  <si>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</si>
  <si>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</si>
  <si>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</si>
  <si>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</si>
  <si>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</si>
  <si>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</si>
  <si>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</si>
  <si>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</si>
  <si>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</si>
  <si>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</si>
  <si>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</si>
  <si>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</si>
  <si>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</si>
  <si>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</si>
  <si>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</si>
  <si>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</si>
  <si>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</si>
  <si>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</si>
  <si>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</si>
  <si>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</si>
  <si>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</si>
  <si>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</si>
  <si>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</si>
  <si>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</si>
  <si>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</si>
  <si>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</si>
  <si>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</si>
  <si>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</si>
  <si>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</si>
  <si>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</si>
  <si>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</si>
  <si>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</si>
  <si>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</si>
  <si>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</si>
  <si>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</si>
  <si>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</si>
  <si>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</si>
  <si>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</si>
  <si>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</si>
  <si>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</si>
  <si>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</si>
  <si>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</si>
  <si>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</si>
  <si>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</si>
  <si>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</si>
  <si>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</si>
  <si>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</si>
  <si>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</si>
  <si>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</si>
  <si>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</si>
  <si>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</si>
  <si>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</si>
  <si>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</si>
  <si>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</si>
  <si>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</si>
  <si>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</si>
  <si>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</si>
  <si>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</si>
  <si>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</si>
  <si>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</si>
  <si>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</si>
  <si>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</si>
  <si>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</si>
  <si>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</si>
  <si>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</si>
  <si>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</si>
  <si>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</si>
  <si>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</si>
  <si>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</si>
  <si>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</si>
  <si>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</si>
  <si>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</si>
  <si>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</si>
  <si>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</si>
  <si>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</si>
  <si>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</si>
  <si>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</si>
  <si>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</si>
  <si>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</si>
  <si>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</si>
  <si>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</si>
  <si>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</si>
  <si>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</si>
  <si>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</si>
  <si>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</si>
  <si>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</si>
  <si>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</si>
  <si>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</si>
  <si>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</si>
  <si>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</si>
  <si>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</si>
  <si>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</si>
  <si>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</si>
  <si>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</si>
  <si>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</si>
  <si>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</si>
  <si>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</si>
  <si>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</si>
  <si>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</si>
  <si>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</si>
  <si>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</si>
  <si>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</si>
  <si>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</si>
  <si>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</si>
  <si>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</si>
  <si>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</si>
  <si>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</si>
  <si>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</si>
  <si>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</si>
  <si>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</si>
  <si>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</si>
  <si>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</si>
  <si>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</si>
  <si>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</si>
  <si>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</si>
  <si>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</si>
  <si>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</si>
  <si>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</si>
  <si>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</si>
  <si>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</si>
  <si>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</si>
  <si>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</si>
  <si>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</si>
  <si>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</si>
  <si>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</si>
  <si>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</si>
  <si>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</si>
  <si>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</si>
  <si>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</si>
  <si>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</si>
  <si>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</si>
  <si>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</si>
  <si>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</si>
  <si>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</si>
  <si>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</si>
  <si>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</si>
  <si>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</si>
  <si>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</si>
  <si>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</si>
  <si>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</si>
  <si>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</si>
  <si>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</si>
  <si>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</si>
  <si>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</si>
  <si>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</si>
  <si>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</si>
  <si>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</si>
  <si>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</si>
  <si>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</si>
  <si>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</si>
  <si>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</si>
  <si>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</si>
  <si>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</si>
  <si>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</si>
  <si>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</si>
  <si>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</si>
  <si>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</si>
  <si>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</si>
  <si>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</si>
  <si>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</si>
  <si>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</si>
  <si>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</si>
  <si>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</si>
  <si>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</si>
  <si>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</si>
  <si>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</si>
  <si>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</si>
  <si>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</si>
  <si>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</si>
  <si>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</si>
  <si>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</si>
  <si>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</si>
  <si>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</si>
  <si>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</si>
  <si>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</si>
  <si>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</si>
  <si>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</si>
  <si>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</si>
  <si>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</si>
  <si>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</si>
  <si>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</si>
  <si>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</si>
  <si>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</si>
  <si>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</si>
  <si>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</si>
  <si>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</si>
  <si>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</si>
  <si>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</si>
  <si>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</si>
  <si>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</si>
  <si>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</si>
  <si>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</si>
  <si>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</si>
  <si>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</si>
  <si>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</si>
  <si>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</si>
  <si>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</si>
  <si>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</si>
  <si>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</si>
  <si>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</si>
  <si>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</si>
  <si>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</si>
  <si>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</si>
  <si>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</si>
  <si>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</si>
  <si>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</si>
  <si>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</si>
  <si>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</si>
  <si>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</si>
  <si>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</si>
  <si>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</si>
  <si>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</si>
  <si>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</si>
  <si>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</si>
  <si>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</si>
  <si>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</si>
  <si>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</si>
  <si>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</si>
  <si>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</si>
  <si>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</si>
  <si>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</si>
  <si>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</si>
  <si>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</si>
  <si>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</si>
  <si>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</si>
  <si>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</si>
  <si>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</si>
  <si>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</si>
  <si>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</si>
  <si>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</si>
  <si>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</si>
  <si>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</si>
  <si>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</si>
  <si>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</si>
  <si>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</si>
  <si>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</si>
  <si>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</si>
  <si>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</si>
  <si>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</si>
  <si>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</si>
  <si>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</si>
  <si>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</si>
  <si>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</si>
  <si>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</si>
  <si>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</si>
  <si>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</si>
  <si>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</si>
  <si>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</si>
  <si>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</si>
  <si>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</si>
  <si>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</si>
  <si>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</si>
  <si>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</si>
  <si>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</si>
  <si>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</si>
  <si>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</si>
  <si>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</si>
  <si>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</si>
  <si>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</si>
  <si>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</si>
  <si>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</si>
  <si>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</si>
  <si>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</si>
  <si>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</si>
  <si>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</si>
  <si>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</si>
  <si>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</si>
  <si>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</si>
  <si>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</si>
  <si>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</si>
  <si>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</si>
  <si>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</si>
  <si>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</si>
  <si>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</si>
  <si>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</si>
  <si>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</si>
  <si>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</si>
  <si>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</si>
  <si>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</si>
  <si>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</si>
  <si>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</si>
  <si>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</si>
  <si>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</si>
  <si>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</si>
  <si>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</si>
  <si>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</si>
  <si>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</si>
  <si>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</si>
  <si>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</si>
  <si>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</si>
  <si>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</si>
  <si>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</si>
  <si>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</si>
  <si>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</si>
  <si>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</si>
  <si>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</si>
  <si>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</si>
  <si>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</si>
  <si>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</si>
  <si>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</si>
  <si>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</si>
  <si>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</si>
  <si>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</si>
  <si>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</si>
  <si>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</si>
  <si>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</si>
  <si>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</si>
  <si>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</si>
  <si>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</si>
  <si>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</si>
  <si>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</si>
  <si>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</si>
  <si>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</si>
  <si>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</si>
  <si>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</si>
  <si>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</si>
  <si>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</si>
  <si>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</si>
  <si>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B2</t>
  </si>
  <si>
    <t>PENANAMAN TIANG BETON</t>
  </si>
  <si>
    <t>II</t>
  </si>
  <si>
    <t>KONSTRUKSI JTM 3 PHASE</t>
  </si>
  <si>
    <t>III</t>
  </si>
  <si>
    <t>IV</t>
  </si>
  <si>
    <t>PEMASANGAN TRAFO</t>
  </si>
  <si>
    <t>PEKERJAAN LAIN-LAIN</t>
  </si>
  <si>
    <t>CM2-11</t>
  </si>
  <si>
    <t>SCHOOR</t>
  </si>
  <si>
    <t>CE1-3</t>
  </si>
  <si>
    <t>F1-3</t>
  </si>
  <si>
    <t>CM2-12A</t>
  </si>
  <si>
    <t xml:space="preserve">Jumper Wire : </t>
  </si>
  <si>
    <t>CM2-11M</t>
  </si>
  <si>
    <t>Stainless Steel Strap 20 X 0.7 mm</t>
  </si>
  <si>
    <t xml:space="preserve">SYG 06 </t>
  </si>
  <si>
    <t>KI JATENGLAND DS BATU, KARANGTENGAH</t>
  </si>
  <si>
    <t>CM5-5</t>
  </si>
  <si>
    <t>PENJUMPERAN</t>
  </si>
  <si>
    <t>CC1-A</t>
  </si>
  <si>
    <t>CC7</t>
  </si>
  <si>
    <t xml:space="preserve">Pemasangan APP </t>
  </si>
  <si>
    <t>SYG06-51/24/18</t>
  </si>
  <si>
    <t>C14-350</t>
  </si>
  <si>
    <t>CC10</t>
  </si>
  <si>
    <t>CM2-12</t>
  </si>
  <si>
    <t>CJ6-T</t>
  </si>
  <si>
    <t>M8-01</t>
  </si>
  <si>
    <t xml:space="preserve">CM2-11 </t>
  </si>
  <si>
    <t>CONDUKTOR</t>
  </si>
  <si>
    <t>Pemasangan APP 3 Fasa Di Bangunan</t>
  </si>
  <si>
    <t>C9-200</t>
  </si>
  <si>
    <t>CC1-1</t>
  </si>
  <si>
    <t>CG313</t>
  </si>
  <si>
    <t>CJ5-T</t>
  </si>
  <si>
    <t>APP 105KVA</t>
  </si>
  <si>
    <t>LVTC 4 X 25 MM</t>
  </si>
  <si>
    <t>CC9</t>
  </si>
  <si>
    <t>Daya 105.000 VA</t>
  </si>
  <si>
    <t>ATB</t>
  </si>
  <si>
    <t>KONSTRUKSI JTR 3 PHASE</t>
  </si>
  <si>
    <t>MJ6-T</t>
  </si>
  <si>
    <t>BATCHING PLAN MJA</t>
  </si>
  <si>
    <t>KOORDINAT : -6.922946, 110.552546</t>
  </si>
  <si>
    <t>TRAFO BATCHING PLAN</t>
  </si>
  <si>
    <t>TRAFO POMPA AIR JATENG LAND</t>
  </si>
  <si>
    <t>Trafo 3 Fasa 100 KVA 2 Tiang (G313)</t>
  </si>
  <si>
    <t>Demak, 24 November 2023</t>
  </si>
  <si>
    <t>MANAGER ULP</t>
  </si>
  <si>
    <t>ACHMAD SUHENDRO</t>
  </si>
  <si>
    <t>Staf teknik</t>
  </si>
  <si>
    <t>TL Teknik</t>
  </si>
  <si>
    <t>MULP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</si>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</sst>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10"/>
      </bottom>
      <diagonal/>
    </border>
    <border>
      <left/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</borders>
  <cellStyleXfs count="3899">
    <xf numFmtId="0" fontId="0" fillId="0" borderId="0"/>
    <xf numFmtId="172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167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167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8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49" fillId="0" borderId="0" applyFont="0" applyFill="0" applyBorder="0" applyAlignment="0" applyProtection="0"/>
    <xf numFmtId="18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206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6" fontId="38" fillId="0" borderId="3"/>
    <xf numFmtId="186" fontId="24" fillId="0" borderId="3"/>
    <xf numFmtId="164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72" fillId="0" borderId="0" applyFont="0" applyFill="0" applyBorder="0" applyAlignment="0" applyProtection="0"/>
    <xf numFmtId="188" fontId="74" fillId="0" borderId="0">
      <protection locked="0"/>
    </xf>
    <xf numFmtId="14" fontId="66" fillId="0" borderId="0" applyFill="0" applyBorder="0" applyAlignment="0"/>
    <xf numFmtId="189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90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1" fontId="79" fillId="0" borderId="0">
      <protection locked="0"/>
    </xf>
    <xf numFmtId="191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2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3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24" fillId="0" borderId="0"/>
    <xf numFmtId="193" fontId="38" fillId="0" borderId="0"/>
    <xf numFmtId="172" fontId="85" fillId="0" borderId="0"/>
    <xf numFmtId="172" fontId="86" fillId="0" borderId="0"/>
    <xf numFmtId="172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4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2" fontId="86" fillId="0" borderId="0"/>
    <xf numFmtId="0" fontId="86" fillId="0" borderId="0"/>
    <xf numFmtId="195" fontId="86" fillId="0" borderId="0"/>
    <xf numFmtId="196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5" fontId="86" fillId="0" borderId="0"/>
    <xf numFmtId="0" fontId="86" fillId="0" borderId="0"/>
    <xf numFmtId="0" fontId="38" fillId="0" borderId="0"/>
    <xf numFmtId="0" fontId="24" fillId="0" borderId="0"/>
    <xf numFmtId="182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7" fontId="86" fillId="0" borderId="0"/>
    <xf numFmtId="199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4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4" fontId="45" fillId="0" borderId="0"/>
    <xf numFmtId="194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200" fontId="38" fillId="0" borderId="0" applyFont="0" applyFill="0" applyBorder="0" applyAlignment="0" applyProtection="0"/>
    <xf numFmtId="200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6" fillId="0" borderId="0"/>
    <xf numFmtId="201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38" fillId="0" borderId="0" applyFill="0" applyBorder="0" applyAlignment="0"/>
    <xf numFmtId="203" fontId="24" fillId="0" borderId="0" applyFill="0" applyBorder="0" applyAlignment="0"/>
    <xf numFmtId="204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1" fillId="0" borderId="0"/>
    <xf numFmtId="41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41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6" fillId="0" borderId="0"/>
    <xf numFmtId="41" fontId="24" fillId="0" borderId="0" applyFont="0" applyFill="0" applyBorder="0" applyAlignment="0" applyProtection="0"/>
    <xf numFmtId="0" fontId="6" fillId="0" borderId="0"/>
    <xf numFmtId="43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" fillId="0" borderId="0"/>
    <xf numFmtId="0" fontId="18" fillId="0" borderId="0"/>
    <xf numFmtId="0" fontId="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5"/>
    <xf numFmtId="0" fontId="91" fillId="0" borderId="96"/>
    <xf numFmtId="43" fontId="24" fillId="0" borderId="0" applyFont="0" applyFill="0" applyBorder="0" applyAlignment="0" applyProtection="0"/>
    <xf numFmtId="0" fontId="39" fillId="20" borderId="103" applyNumberFormat="0" applyAlignment="0" applyProtection="0"/>
    <xf numFmtId="0" fontId="18" fillId="27" borderId="102" applyNumberFormat="0" applyFont="0" applyAlignment="0" applyProtection="0"/>
    <xf numFmtId="0" fontId="24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9" fillId="21" borderId="99" applyNumberFormat="0" applyAlignment="0" applyProtection="0"/>
    <xf numFmtId="0" fontId="35" fillId="7" borderId="107" applyNumberFormat="0" applyAlignment="0" applyProtection="0"/>
    <xf numFmtId="0" fontId="41" fillId="0" borderId="104" applyNumberFormat="0" applyFill="0" applyAlignment="0" applyProtection="0"/>
    <xf numFmtId="0" fontId="4" fillId="0" borderId="0"/>
    <xf numFmtId="0" fontId="4" fillId="0" borderId="0"/>
    <xf numFmtId="0" fontId="90" fillId="0" borderId="106"/>
    <xf numFmtId="0" fontId="24" fillId="27" borderId="108" applyNumberFormat="0" applyFont="0" applyAlignment="0" applyProtection="0"/>
    <xf numFmtId="0" fontId="39" fillId="20" borderId="109" applyNumberFormat="0" applyAlignment="0" applyProtection="0"/>
    <xf numFmtId="0" fontId="41" fillId="0" borderId="110" applyNumberFormat="0" applyFill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0" fontId="24" fillId="27" borderId="102" applyNumberFormat="0" applyFont="0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0" fontId="4" fillId="0" borderId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43" fontId="4" fillId="0" borderId="0" applyFont="0" applyFill="0" applyBorder="0" applyAlignment="0" applyProtection="0"/>
    <xf numFmtId="0" fontId="81" fillId="23" borderId="105"/>
    <xf numFmtId="0" fontId="81" fillId="0" borderId="105"/>
    <xf numFmtId="0" fontId="81" fillId="0" borderId="100"/>
    <xf numFmtId="0" fontId="81" fillId="0" borderId="100"/>
    <xf numFmtId="0" fontId="76" fillId="0" borderId="105"/>
    <xf numFmtId="0" fontId="76" fillId="0" borderId="105"/>
    <xf numFmtId="0" fontId="76" fillId="0" borderId="111"/>
    <xf numFmtId="0" fontId="76" fillId="0" borderId="111"/>
    <xf numFmtId="0" fontId="81" fillId="0" borderId="111"/>
    <xf numFmtId="0" fontId="81" fillId="23" borderId="111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4" fillId="0" borderId="0"/>
    <xf numFmtId="0" fontId="4" fillId="0" borderId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0" fontId="18" fillId="27" borderId="108" applyNumberFormat="0" applyFont="0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194" fontId="45" fillId="28" borderId="108" applyAlignment="0" applyProtection="0"/>
    <xf numFmtId="0" fontId="39" fillId="20" borderId="103" applyNumberFormat="0" applyAlignment="0" applyProtection="0"/>
    <xf numFmtId="0" fontId="24" fillId="27" borderId="102" applyNumberFormat="0" applyFont="0" applyAlignment="0" applyProtection="0"/>
    <xf numFmtId="0" fontId="35" fillId="7" borderId="101" applyNumberFormat="0" applyAlignment="0" applyProtection="0"/>
    <xf numFmtId="0" fontId="28" fillId="20" borderId="101" applyNumberFormat="0" applyAlignment="0" applyProtection="0"/>
    <xf numFmtId="194" fontId="45" fillId="28" borderId="108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35" fillId="7" borderId="107" applyNumberFormat="0" applyAlignment="0" applyProtection="0"/>
    <xf numFmtId="0" fontId="28" fillId="20" borderId="107" applyNumberFormat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90" fillId="0" borderId="112"/>
    <xf numFmtId="0" fontId="35" fillId="7" borderId="107" applyNumberFormat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</cellStyleXfs>
  <cellXfs count="730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165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165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165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167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9" fontId="47" fillId="0" borderId="0" xfId="714" applyFont="1" applyFill="1" applyAlignment="1">
      <alignment horizontal="center" wrapText="1"/>
    </xf>
    <xf numFmtId="169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9" fontId="47" fillId="0" borderId="21" xfId="715" applyNumberFormat="1" applyFont="1" applyFill="1" applyBorder="1" applyAlignment="1">
      <alignment horizontal="center" vertical="center" wrapText="1"/>
    </xf>
    <xf numFmtId="169" fontId="47" fillId="0" borderId="21" xfId="714" applyFont="1" applyFill="1" applyBorder="1" applyAlignment="1">
      <alignment horizontal="center" vertical="center" wrapText="1"/>
    </xf>
    <xf numFmtId="169" fontId="47" fillId="0" borderId="33" xfId="714" applyFont="1" applyFill="1" applyBorder="1" applyAlignment="1">
      <alignment horizontal="center" vertical="center" wrapText="1"/>
    </xf>
    <xf numFmtId="167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7" fontId="46" fillId="0" borderId="0" xfId="1615" applyNumberFormat="1" applyFont="1" applyAlignment="1">
      <alignment horizontal="left" vertical="center"/>
    </xf>
    <xf numFmtId="167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7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5" fontId="98" fillId="0" borderId="0" xfId="1448" applyNumberFormat="1" applyFont="1" applyAlignment="1">
      <alignment wrapText="1"/>
    </xf>
    <xf numFmtId="165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7" fillId="0" borderId="21" xfId="717" applyNumberFormat="1" applyFont="1" applyFill="1" applyBorder="1" applyAlignment="1" applyProtection="1">
      <alignment horizontal="center" vertical="center" wrapText="1"/>
    </xf>
    <xf numFmtId="165" fontId="47" fillId="0" borderId="21" xfId="1451" applyNumberFormat="1" applyFont="1" applyBorder="1" applyAlignment="1">
      <alignment horizontal="center" vertical="center" wrapText="1"/>
    </xf>
    <xf numFmtId="169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9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9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9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7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8" xfId="0" applyFont="1" applyFill="1" applyBorder="1" applyAlignment="1">
      <alignment horizontal="center" vertical="center"/>
    </xf>
    <xf numFmtId="0" fontId="122" fillId="33" borderId="69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0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165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9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5" fillId="0" borderId="0" xfId="1538"/>
    <xf numFmtId="167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7" fontId="0" fillId="0" borderId="3" xfId="1026" applyFont="1" applyFill="1" applyBorder="1" applyProtection="1"/>
    <xf numFmtId="167" fontId="115" fillId="0" borderId="3" xfId="1538" applyNumberFormat="1" applyBorder="1"/>
    <xf numFmtId="167" fontId="143" fillId="0" borderId="3" xfId="1026" applyFont="1" applyBorder="1" applyProtection="1"/>
    <xf numFmtId="167" fontId="0" fillId="0" borderId="3" xfId="1026" applyFont="1" applyBorder="1" applyProtection="1"/>
    <xf numFmtId="167" fontId="131" fillId="0" borderId="3" xfId="1538" applyNumberFormat="1" applyFont="1" applyBorder="1"/>
    <xf numFmtId="0" fontId="64" fillId="0" borderId="3" xfId="1538" applyFont="1" applyBorder="1"/>
    <xf numFmtId="165" fontId="115" fillId="0" borderId="3" xfId="1538" applyNumberFormat="1" applyBorder="1"/>
    <xf numFmtId="167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167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167" fontId="52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7" fontId="115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167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7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165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79" xfId="2670" applyFont="1" applyFill="1" applyBorder="1" applyAlignment="1">
      <alignment horizontal="left" vertical="center"/>
    </xf>
    <xf numFmtId="0" fontId="163" fillId="39" borderId="80" xfId="2670" applyFont="1" applyFill="1" applyBorder="1" applyAlignment="1">
      <alignment horizontal="center" vertical="center"/>
    </xf>
    <xf numFmtId="0" fontId="163" fillId="39" borderId="82" xfId="2670" applyFont="1" applyFill="1" applyBorder="1" applyAlignment="1">
      <alignment horizontal="left" vertical="center"/>
    </xf>
    <xf numFmtId="0" fontId="163" fillId="39" borderId="78" xfId="2670" applyFont="1" applyFill="1" applyBorder="1" applyAlignment="1">
      <alignment horizontal="center" vertical="center"/>
    </xf>
    <xf numFmtId="0" fontId="163" fillId="39" borderId="84" xfId="2670" applyFont="1" applyFill="1" applyBorder="1" applyAlignment="1">
      <alignment horizontal="left" vertical="center"/>
    </xf>
    <xf numFmtId="0" fontId="163" fillId="39" borderId="85" xfId="2670" applyFont="1" applyFill="1" applyBorder="1" applyAlignment="1">
      <alignment horizontal="center" vertical="center"/>
    </xf>
    <xf numFmtId="167" fontId="144" fillId="40" borderId="81" xfId="2672" applyFont="1" applyFill="1" applyBorder="1" applyAlignment="1" applyProtection="1">
      <alignment horizontal="right" vertical="center" wrapText="1"/>
      <protection locked="0"/>
    </xf>
    <xf numFmtId="167" fontId="144" fillId="40" borderId="83" xfId="2672" applyFont="1" applyFill="1" applyBorder="1" applyAlignment="1" applyProtection="1">
      <alignment horizontal="right" vertical="center"/>
      <protection locked="0"/>
    </xf>
    <xf numFmtId="169" fontId="144" fillId="40" borderId="83" xfId="2672" applyNumberFormat="1" applyFont="1" applyFill="1" applyBorder="1" applyAlignment="1" applyProtection="1">
      <alignment horizontal="right" vertical="center"/>
      <protection locked="0"/>
    </xf>
    <xf numFmtId="169" fontId="144" fillId="40" borderId="86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0" xfId="2673" applyFont="1" applyFill="1" applyBorder="1" applyAlignment="1">
      <alignment vertical="center" wrapText="1"/>
    </xf>
    <xf numFmtId="0" fontId="150" fillId="43" borderId="90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4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7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9" fontId="148" fillId="47" borderId="0" xfId="2672" applyNumberFormat="1" applyFont="1" applyFill="1" applyBorder="1" applyAlignment="1" applyProtection="1">
      <alignment horizontal="right" vertical="center"/>
    </xf>
    <xf numFmtId="0" fontId="9" fillId="0" borderId="20" xfId="1652" applyFont="1" applyBorder="1" applyAlignment="1">
      <alignment horizontal="center" vertical="center"/>
    </xf>
    <xf numFmtId="0" fontId="9" fillId="0" borderId="21" xfId="1652" applyFont="1" applyBorder="1" applyAlignment="1">
      <alignment vertical="center" wrapText="1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8" fillId="0" borderId="21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131" fillId="48" borderId="21" xfId="1652" applyFont="1" applyFill="1" applyBorder="1" applyAlignment="1">
      <alignment horizontal="left" vertical="center" wrapText="1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131" fillId="48" borderId="21" xfId="1652" applyFont="1" applyFill="1" applyBorder="1" applyAlignment="1">
      <alignment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95" fillId="0" borderId="97" xfId="1450" applyFont="1" applyBorder="1" applyAlignment="1">
      <alignment horizontal="left" vertical="center"/>
    </xf>
    <xf numFmtId="0" fontId="95" fillId="0" borderId="98" xfId="1450" applyFont="1" applyBorder="1" applyAlignment="1">
      <alignment horizontal="left" vertical="center"/>
    </xf>
    <xf numFmtId="0" fontId="95" fillId="0" borderId="40" xfId="1450" applyFont="1" applyBorder="1" applyAlignment="1">
      <alignment horizontal="center" vertical="center"/>
    </xf>
    <xf numFmtId="0" fontId="95" fillId="0" borderId="47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78" fillId="0" borderId="20" xfId="1614" applyFont="1" applyBorder="1" applyAlignment="1">
      <alignment horizontal="center" vertical="center"/>
    </xf>
    <xf numFmtId="0" fontId="178" fillId="0" borderId="21" xfId="1614" applyFont="1" applyBorder="1" applyAlignment="1">
      <alignment vertical="center" wrapText="1"/>
    </xf>
    <xf numFmtId="0" fontId="114" fillId="0" borderId="21" xfId="1614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22" fillId="33" borderId="72" xfId="0" applyFont="1" applyFill="1" applyBorder="1" applyAlignment="1">
      <alignment horizontal="left" vertical="center"/>
    </xf>
    <xf numFmtId="0" fontId="122" fillId="33" borderId="73" xfId="0" applyFont="1" applyFill="1" applyBorder="1" applyAlignment="1">
      <alignment horizontal="left" vertical="center"/>
    </xf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135" fillId="33" borderId="0" xfId="0" applyFont="1" applyFill="1" applyAlignment="1">
      <alignment horizontal="center"/>
    </xf>
    <xf numFmtId="0" fontId="122" fillId="33" borderId="119" xfId="0" applyFont="1" applyFill="1" applyBorder="1" applyAlignment="1">
      <alignment horizontal="left" vertical="center"/>
    </xf>
    <xf numFmtId="0" fontId="122" fillId="33" borderId="120" xfId="0" applyFont="1" applyFill="1" applyBorder="1" applyAlignment="1">
      <alignment horizontal="left" vertical="center"/>
    </xf>
    <xf numFmtId="0" fontId="122" fillId="33" borderId="117" xfId="0" applyFont="1" applyFill="1" applyBorder="1" applyAlignment="1">
      <alignment horizontal="left" vertical="center"/>
    </xf>
    <xf numFmtId="0" fontId="122" fillId="33" borderId="118" xfId="0" applyFont="1" applyFill="1" applyBorder="1" applyAlignment="1">
      <alignment horizontal="left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53" fillId="48" borderId="21" xfId="1614" applyFont="1" applyFill="1" applyBorder="1" applyAlignment="1">
      <alignment horizontal="center" vertical="center" wrapText="1"/>
    </xf>
    <xf numFmtId="0" fontId="1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5" fillId="0" borderId="3" xfId="1614" applyFont="1" applyBorder="1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169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1" fillId="0" borderId="92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3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43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1" xfId="2673" applyNumberFormat="1" applyFont="1" applyFill="1" applyBorder="1" applyAlignment="1">
      <alignment horizontal="center" vertical="center" wrapText="1"/>
    </xf>
    <xf numFmtId="0" fontId="167" fillId="41" borderId="87" xfId="2673" applyFont="1" applyFill="1" applyBorder="1" applyAlignment="1">
      <alignment horizontal="center" vertical="center" wrapText="1"/>
    </xf>
    <xf numFmtId="0" fontId="167" fillId="41" borderId="88" xfId="2673" applyFont="1" applyFill="1" applyBorder="1" applyAlignment="1">
      <alignment horizontal="center" vertical="center" wrapText="1"/>
    </xf>
    <xf numFmtId="0" fontId="167" fillId="41" borderId="89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43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0" fontId="167" fillId="42" borderId="87" xfId="2673" applyFont="1" applyFill="1" applyBorder="1" applyAlignment="1">
      <alignment horizontal="center" vertical="center" wrapText="1"/>
    </xf>
    <xf numFmtId="0" fontId="167" fillId="42" borderId="88" xfId="2673" applyFont="1" applyFill="1" applyBorder="1" applyAlignment="1">
      <alignment horizontal="center" vertical="center" wrapText="1"/>
    </xf>
    <xf numFmtId="0" fontId="167" fillId="42" borderId="89" xfId="2673" applyFont="1" applyFill="1" applyBorder="1" applyAlignment="1">
      <alignment horizontal="center" vertical="center" wrapText="1"/>
    </xf>
    <xf numFmtId="43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1" xfId="2673" applyNumberFormat="1" applyFont="1" applyFill="1" applyBorder="1" applyAlignment="1">
      <alignment horizontal="center" vertical="center" wrapText="1"/>
    </xf>
    <xf numFmtId="0" fontId="12" fillId="34" borderId="76" xfId="2670" applyFill="1" applyBorder="1" applyAlignment="1">
      <alignment horizontal="center" vertical="center"/>
    </xf>
    <xf numFmtId="0" fontId="142" fillId="0" borderId="77" xfId="2670" applyFont="1" applyBorder="1" applyAlignment="1">
      <alignment horizontal="left" vertical="center"/>
    </xf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167" fontId="157" fillId="0" borderId="0" xfId="1614" applyNumberFormat="1" applyFont="1" applyAlignment="1">
      <alignment horizontal="left" vertical="top" wrapText="1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0" fontId="95" fillId="0" borderId="97" xfId="1450" applyFont="1" applyBorder="1" applyAlignment="1">
      <alignment horizontal="left" vertical="center"/>
    </xf>
    <xf numFmtId="0" fontId="95" fillId="0" borderId="98" xfId="1450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49" fontId="118" fillId="33" borderId="50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95" fillId="0" borderId="113" xfId="1450" applyFont="1" applyBorder="1" applyAlignment="1">
      <alignment horizontal="left" vertical="center"/>
    </xf>
    <xf numFmtId="0" fontId="95" fillId="0" borderId="114" xfId="1450" applyFont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0" fontId="95" fillId="0" borderId="115" xfId="1450" applyFont="1" applyBorder="1" applyAlignment="1">
      <alignment horizontal="left" vertical="center"/>
    </xf>
    <xf numFmtId="0" fontId="95" fillId="0" borderId="116" xfId="1450" applyFont="1" applyBorder="1" applyAlignment="1">
      <alignment horizontal="left" vertical="center"/>
    </xf>
    <xf numFmtId="49" fontId="118" fillId="33" borderId="3" xfId="0" applyNumberFormat="1" applyFont="1" applyFill="1" applyBorder="1" applyAlignment="1">
      <alignment horizontal="center" vertical="center"/>
    </xf>
    <xf numFmtId="49" fontId="118" fillId="33" borderId="3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15" fontId="118" fillId="33" borderId="3" xfId="0" applyNumberFormat="1" applyFont="1" applyFill="1" applyBorder="1" applyAlignment="1">
      <alignment horizontal="center"/>
    </xf>
    <xf numFmtId="0" fontId="123" fillId="33" borderId="74" xfId="0" applyFont="1" applyFill="1" applyBorder="1" applyAlignment="1">
      <alignment horizontal="center" vertical="center" wrapText="1"/>
    </xf>
    <xf numFmtId="0" fontId="123" fillId="33" borderId="75" xfId="0" applyFont="1" applyFill="1" applyBorder="1" applyAlignment="1">
      <alignment horizontal="center" vertical="center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118" fillId="33" borderId="64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</cellXfs>
  <cellStyles count="389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3682" xr:uid="{FC6AEF61-9B3A-4953-998C-0C6AFC45D5D2}"/>
    <cellStyle name="Calculation 10 4" xfId="3591" xr:uid="{B655F429-28BF-45C6-93BF-B407E7B9A907}"/>
    <cellStyle name="Calculation 11" xfId="470" xr:uid="{00000000-0005-0000-0000-0000D5010000}"/>
    <cellStyle name="Calculation 11 2" xfId="471" xr:uid="{00000000-0005-0000-0000-0000D6010000}"/>
    <cellStyle name="Calculation 11 3" xfId="3681" xr:uid="{49265FCD-15EE-4F3D-98E8-26B740BA12AD}"/>
    <cellStyle name="Calculation 11 4" xfId="3592" xr:uid="{E2179F3A-FB95-4FF9-A8A9-829217F6D160}"/>
    <cellStyle name="Calculation 12" xfId="472" xr:uid="{00000000-0005-0000-0000-0000D7010000}"/>
    <cellStyle name="Calculation 12 2" xfId="473" xr:uid="{00000000-0005-0000-0000-0000D8010000}"/>
    <cellStyle name="Calculation 12 3" xfId="3680" xr:uid="{6B0320A4-A2D3-4406-89CB-8BDD606492C2}"/>
    <cellStyle name="Calculation 12 4" xfId="3593" xr:uid="{224B4B05-29BD-4E94-87A2-DC2338ADB2FE}"/>
    <cellStyle name="Calculation 13" xfId="474" xr:uid="{00000000-0005-0000-0000-0000D9010000}"/>
    <cellStyle name="Calculation 13 2" xfId="475" xr:uid="{00000000-0005-0000-0000-0000DA010000}"/>
    <cellStyle name="Calculation 13 3" xfId="3679" xr:uid="{FEAAD657-80FF-4B3F-A165-C830F32FE787}"/>
    <cellStyle name="Calculation 13 4" xfId="3594" xr:uid="{241B265A-9BBA-4E2E-9F9C-501A42D0E722}"/>
    <cellStyle name="Calculation 14" xfId="476" xr:uid="{00000000-0005-0000-0000-0000DB010000}"/>
    <cellStyle name="Calculation 14 2" xfId="477" xr:uid="{00000000-0005-0000-0000-0000DC010000}"/>
    <cellStyle name="Calculation 14 3" xfId="3678" xr:uid="{699905E9-41AD-4FDE-870F-27C8345502F9}"/>
    <cellStyle name="Calculation 14 4" xfId="3595" xr:uid="{90E91377-8151-4422-A0AD-88AE8F1187A2}"/>
    <cellStyle name="Calculation 15" xfId="478" xr:uid="{00000000-0005-0000-0000-0000DD010000}"/>
    <cellStyle name="Calculation 15 2" xfId="479" xr:uid="{00000000-0005-0000-0000-0000DE010000}"/>
    <cellStyle name="Calculation 15 3" xfId="3677" xr:uid="{AE8EC5A1-839F-4732-86B7-46096DDCDE12}"/>
    <cellStyle name="Calculation 15 4" xfId="3596" xr:uid="{F6F418C4-4533-4F5F-82AD-3A41AEEC2F1A}"/>
    <cellStyle name="Calculation 16" xfId="480" xr:uid="{00000000-0005-0000-0000-0000DF010000}"/>
    <cellStyle name="Calculation 16 2" xfId="481" xr:uid="{00000000-0005-0000-0000-0000E0010000}"/>
    <cellStyle name="Calculation 16 3" xfId="3676" xr:uid="{04128D6D-B053-499F-A46D-04800D3E2238}"/>
    <cellStyle name="Calculation 16 4" xfId="3597" xr:uid="{3D44A7A2-C6CF-4D05-A0A9-C885E61A480F}"/>
    <cellStyle name="Calculation 17" xfId="3717" xr:uid="{E31DC55E-44B3-4C15-A94E-F3616F11BE52}"/>
    <cellStyle name="Calculation 18" xfId="3723" xr:uid="{EC2A906A-06C9-4A0E-94F7-4560E7890D96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3674" xr:uid="{1718B1CA-B296-4F88-91A1-CEFE7FA5ECD3}"/>
    <cellStyle name="Calculation 2 2 4" xfId="3599" xr:uid="{033BE833-D9EB-4371-8EBF-964B97BF4DAA}"/>
    <cellStyle name="Calculation 2 3" xfId="485" xr:uid="{00000000-0005-0000-0000-0000E4010000}"/>
    <cellStyle name="Calculation 2 3 2" xfId="486" xr:uid="{00000000-0005-0000-0000-0000E5010000}"/>
    <cellStyle name="Calculation 2 3 3" xfId="3673" xr:uid="{31BF3874-959B-4CF2-B304-75AE18E9AE5B}"/>
    <cellStyle name="Calculation 2 3 4" xfId="3600" xr:uid="{2CB8C117-701D-45BB-A598-D9148D263A48}"/>
    <cellStyle name="Calculation 2 4" xfId="487" xr:uid="{00000000-0005-0000-0000-0000E6010000}"/>
    <cellStyle name="Calculation 2 5" xfId="3675" xr:uid="{057B7AF0-40C9-4BD3-844F-72456D2A9274}"/>
    <cellStyle name="Calculation 2 6" xfId="3598" xr:uid="{035455AE-63C5-4666-9AFD-1E3A1F915273}"/>
    <cellStyle name="Calculation 3" xfId="488" xr:uid="{00000000-0005-0000-0000-0000E7010000}"/>
    <cellStyle name="Calculation 3 2" xfId="489" xr:uid="{00000000-0005-0000-0000-0000E8010000}"/>
    <cellStyle name="Calculation 3 3" xfId="3672" xr:uid="{E5879892-07DD-4EBC-907F-C27620EC2FC3}"/>
    <cellStyle name="Calculation 3 4" xfId="3601" xr:uid="{C25E7B5E-8DDA-4350-B230-18D8A3EA4AF4}"/>
    <cellStyle name="Calculation 4" xfId="490" xr:uid="{00000000-0005-0000-0000-0000E9010000}"/>
    <cellStyle name="Calculation 4 2" xfId="491" xr:uid="{00000000-0005-0000-0000-0000EA010000}"/>
    <cellStyle name="Calculation 4 3" xfId="3671" xr:uid="{6AEAFCB9-5231-47F7-9505-42C8FB83BBF0}"/>
    <cellStyle name="Calculation 4 4" xfId="3602" xr:uid="{7D0D1C41-630E-42C8-9488-1F0788B8B9D7}"/>
    <cellStyle name="Calculation 5" xfId="492" xr:uid="{00000000-0005-0000-0000-0000EB010000}"/>
    <cellStyle name="Calculation 5 2" xfId="493" xr:uid="{00000000-0005-0000-0000-0000EC010000}"/>
    <cellStyle name="Calculation 5 3" xfId="3670" xr:uid="{42D94F41-20DA-4CF7-92DB-85197F0B8661}"/>
    <cellStyle name="Calculation 5 4" xfId="3603" xr:uid="{9A06A685-528B-4267-AC6F-5615A807F909}"/>
    <cellStyle name="Calculation 6" xfId="494" xr:uid="{00000000-0005-0000-0000-0000ED010000}"/>
    <cellStyle name="Calculation 6 2" xfId="495" xr:uid="{00000000-0005-0000-0000-0000EE010000}"/>
    <cellStyle name="Calculation 6 3" xfId="3669" xr:uid="{BF3E1D3E-2AE4-4054-BB93-CAA66C993C5B}"/>
    <cellStyle name="Calculation 6 4" xfId="3604" xr:uid="{7F337BCC-54FC-4C80-BBF0-FD9533CF61EE}"/>
    <cellStyle name="Calculation 7" xfId="496" xr:uid="{00000000-0005-0000-0000-0000EF010000}"/>
    <cellStyle name="Calculation 7 2" xfId="497" xr:uid="{00000000-0005-0000-0000-0000F0010000}"/>
    <cellStyle name="Calculation 7 3" xfId="3668" xr:uid="{C97DD6BA-705C-48D9-8EEF-EDD3731712CD}"/>
    <cellStyle name="Calculation 7 4" xfId="3605" xr:uid="{1503EC32-E1F2-4C0B-AA36-0DBB83DC29E3}"/>
    <cellStyle name="Calculation 8" xfId="498" xr:uid="{00000000-0005-0000-0000-0000F1010000}"/>
    <cellStyle name="Calculation 8 2" xfId="499" xr:uid="{00000000-0005-0000-0000-0000F2010000}"/>
    <cellStyle name="Calculation 8 3" xfId="3667" xr:uid="{0926AF0E-11A0-4E04-BAA4-9550DDF02D6A}"/>
    <cellStyle name="Calculation 8 4" xfId="3606" xr:uid="{C5DDA028-9262-402D-86D5-CCB9A838208A}"/>
    <cellStyle name="Calculation 9" xfId="500" xr:uid="{00000000-0005-0000-0000-0000F3010000}"/>
    <cellStyle name="Calculation 9 2" xfId="501" xr:uid="{00000000-0005-0000-0000-0000F4010000}"/>
    <cellStyle name="Calculation 9 3" xfId="3666" xr:uid="{97810E95-0FDD-4506-8D83-5627D31ED025}"/>
    <cellStyle name="Calculation 9 4" xfId="3607" xr:uid="{D2758DFD-0E23-4403-9E33-3A55A33AD304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3 5" xfId="3632" xr:uid="{6F6EB5BF-0FA9-47C6-B1EE-3AF6AC7FB239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3638" xr:uid="{B86CB9C3-34F2-4758-8638-9DD95499857D}"/>
    <cellStyle name="Draw lines around data in range 4" xfId="3639" xr:uid="{69B10AEB-49A5-4A03-AE27-60E633F9B412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3637" xr:uid="{F7B2781E-430F-49D0-B280-DCC268AAC7C6}"/>
    <cellStyle name="Draw shadow and lines within range 4" xfId="3640" xr:uid="{D596A876-8225-4652-BE5E-47ECE642D066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3" xfId="3636" xr:uid="{5128B386-83F8-482D-85A1-3532C47325A6}"/>
    <cellStyle name="Format a column of totals 3" xfId="1206" xr:uid="{00000000-0005-0000-0000-0000B6040000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3" xfId="3634" xr:uid="{59883E9C-A3BA-4332-BC55-2415578A1943}"/>
    <cellStyle name="Format a row of totals 4" xfId="3641" xr:uid="{5904F3BF-F20E-4331-BBAA-43B4C949CA60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3633" xr:uid="{2A563C9B-69CB-4043-9B4F-A0E287DAFEB3}"/>
    <cellStyle name="Format text as bold, black on yellow 4" xfId="3642" xr:uid="{7CE6C918-1264-470C-85B5-EDEAB315CDCB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3631" xr:uid="{9E15F01B-623A-410B-90FD-FF76974ADC1C}"/>
    <cellStyle name="Input 10 4" xfId="3643" xr:uid="{185635B6-BA8F-454D-BD36-0059101CE4A3}"/>
    <cellStyle name="Input 11" xfId="1350" xr:uid="{00000000-0005-0000-0000-000046050000}"/>
    <cellStyle name="Input 11 2" xfId="1351" xr:uid="{00000000-0005-0000-0000-000047050000}"/>
    <cellStyle name="Input 11 3" xfId="3630" xr:uid="{FDB4B1F3-3A6A-4DB3-B956-7837CDC781EB}"/>
    <cellStyle name="Input 11 4" xfId="3644" xr:uid="{64BC5015-6597-4D79-B5FB-D3400530AD8A}"/>
    <cellStyle name="Input 12" xfId="1352" xr:uid="{00000000-0005-0000-0000-000048050000}"/>
    <cellStyle name="Input 12 2" xfId="1353" xr:uid="{00000000-0005-0000-0000-000049050000}"/>
    <cellStyle name="Input 12 3" xfId="3629" xr:uid="{B151740C-786A-4C5A-B664-8ACA03067F61}"/>
    <cellStyle name="Input 12 4" xfId="3403" xr:uid="{D8E4C416-0E41-4561-8E98-3A51A80C1BAD}"/>
    <cellStyle name="Input 13" xfId="1354" xr:uid="{00000000-0005-0000-0000-00004A050000}"/>
    <cellStyle name="Input 13 2" xfId="1355" xr:uid="{00000000-0005-0000-0000-00004B050000}"/>
    <cellStyle name="Input 13 3" xfId="3628" xr:uid="{9C90BD0C-C16C-442E-A10A-E27747DC2FAF}"/>
    <cellStyle name="Input 13 4" xfId="3645" xr:uid="{604D21ED-C645-4AFB-AD3A-F60304F3827E}"/>
    <cellStyle name="Input 14" xfId="1356" xr:uid="{00000000-0005-0000-0000-00004C050000}"/>
    <cellStyle name="Input 14 2" xfId="1357" xr:uid="{00000000-0005-0000-0000-00004D050000}"/>
    <cellStyle name="Input 14 3" xfId="3627" xr:uid="{91DABBD7-5B2A-4B01-B035-74FCC1D9AED7}"/>
    <cellStyle name="Input 14 4" xfId="3646" xr:uid="{840A6920-97CA-4005-8972-B86A33A727E0}"/>
    <cellStyle name="Input 15" xfId="1358" xr:uid="{00000000-0005-0000-0000-00004E050000}"/>
    <cellStyle name="Input 15 2" xfId="1359" xr:uid="{00000000-0005-0000-0000-00004F050000}"/>
    <cellStyle name="Input 15 3" xfId="3626" xr:uid="{CD34BDA4-F48B-4399-B781-4CB144500259}"/>
    <cellStyle name="Input 15 4" xfId="3647" xr:uid="{2EE379DB-E30A-4361-B66B-94655DFA0A1A}"/>
    <cellStyle name="Input 16" xfId="1360" xr:uid="{00000000-0005-0000-0000-000050050000}"/>
    <cellStyle name="Input 16 2" xfId="1361" xr:uid="{00000000-0005-0000-0000-000051050000}"/>
    <cellStyle name="Input 16 3" xfId="3625" xr:uid="{0D7A49DD-9A91-4C6A-B1C9-1FA366FB0CFE}"/>
    <cellStyle name="Input 16 4" xfId="3648" xr:uid="{05C94ECF-3627-4B9C-BE40-9163E6AA4224}"/>
    <cellStyle name="Input 17" xfId="1362" xr:uid="{00000000-0005-0000-0000-000052050000}"/>
    <cellStyle name="Input 17 2" xfId="1363" xr:uid="{00000000-0005-0000-0000-000053050000}"/>
    <cellStyle name="Input 17 3" xfId="3624" xr:uid="{34EB2CD2-198F-4EA0-B8C1-9B509200BC8D}"/>
    <cellStyle name="Input 17 4" xfId="3649" xr:uid="{8C6BB267-608D-4B53-B279-10B3DB2C6F12}"/>
    <cellStyle name="Input 18" xfId="1364" xr:uid="{00000000-0005-0000-0000-000054050000}"/>
    <cellStyle name="Input 18 2" xfId="1365" xr:uid="{00000000-0005-0000-0000-000055050000}"/>
    <cellStyle name="Input 18 3" xfId="3623" xr:uid="{0C2D6B64-B18B-499C-A093-5D1B0BBD630B}"/>
    <cellStyle name="Input 18 4" xfId="3650" xr:uid="{D44CE9DC-8AFF-40AD-9976-F673282A90C3}"/>
    <cellStyle name="Input 19" xfId="1366" xr:uid="{00000000-0005-0000-0000-000056050000}"/>
    <cellStyle name="Input 19 2" xfId="1367" xr:uid="{00000000-0005-0000-0000-000057050000}"/>
    <cellStyle name="Input 19 3" xfId="3622" xr:uid="{08AA1154-D682-4668-B4AC-D9CD0C994BDD}"/>
    <cellStyle name="Input 19 4" xfId="3651" xr:uid="{9338EA3E-C701-4ABD-B890-FEC58562C4FF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3620" xr:uid="{69741AAF-C562-47D2-B8E5-F79F5ECD709F}"/>
    <cellStyle name="Input 2 2 4" xfId="3653" xr:uid="{A732DDBC-11CC-4CC0-9D82-03359556332C}"/>
    <cellStyle name="Input 2 3" xfId="1371" xr:uid="{00000000-0005-0000-0000-00005B050000}"/>
    <cellStyle name="Input 2 3 2" xfId="1372" xr:uid="{00000000-0005-0000-0000-00005C050000}"/>
    <cellStyle name="Input 2 3 3" xfId="3619" xr:uid="{A166ECD6-0DDA-46A6-B4BE-3E7DC68008F6}"/>
    <cellStyle name="Input 2 3 4" xfId="3654" xr:uid="{16663D59-111F-47A4-B1EE-8C1E0F2CD8C9}"/>
    <cellStyle name="Input 2 4" xfId="1373" xr:uid="{00000000-0005-0000-0000-00005D050000}"/>
    <cellStyle name="Input 2 5" xfId="3621" xr:uid="{C6A34531-B4ED-41CD-96EE-6A20DDEE49C4}"/>
    <cellStyle name="Input 2 6" xfId="3652" xr:uid="{A309B868-13F4-4902-9A64-DDB13455D57B}"/>
    <cellStyle name="Input 20" xfId="1374" xr:uid="{00000000-0005-0000-0000-00005E050000}"/>
    <cellStyle name="Input 20 2" xfId="1375" xr:uid="{00000000-0005-0000-0000-00005F050000}"/>
    <cellStyle name="Input 20 3" xfId="3618" xr:uid="{6CAFABA3-81EF-4481-B797-652F5DB53334}"/>
    <cellStyle name="Input 20 4" xfId="3655" xr:uid="{FA442496-58F9-424C-AFE5-2EE253AB8104}"/>
    <cellStyle name="Input 21" xfId="1376" xr:uid="{00000000-0005-0000-0000-000060050000}"/>
    <cellStyle name="Input 21 2" xfId="1377" xr:uid="{00000000-0005-0000-0000-000061050000}"/>
    <cellStyle name="Input 21 3" xfId="3617" xr:uid="{5ADBAC3D-4DE9-48D0-A8EC-578CFD49037E}"/>
    <cellStyle name="Input 21 4" xfId="3656" xr:uid="{617B4D88-F26B-44E4-A44C-24E0F85E51C5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3615" xr:uid="{88B86E0E-290A-49B2-A8F3-0504D28F2927}"/>
    <cellStyle name="Input 3 2 4" xfId="3658" xr:uid="{CDA5ADFA-114F-44B8-BDCE-88D37E2B561B}"/>
    <cellStyle name="Input 3 3" xfId="1381" xr:uid="{00000000-0005-0000-0000-000065050000}"/>
    <cellStyle name="Input 3 4" xfId="3616" xr:uid="{3A0EE516-E0DF-4BD7-B8B6-D66792CFFB83}"/>
    <cellStyle name="Input 3 5" xfId="3657" xr:uid="{9592CC59-6A1B-4BD8-8E25-1B0B77FD038C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3613" xr:uid="{5A377356-3073-4FF4-B377-B8C51B42E942}"/>
    <cellStyle name="Input 4 2 4" xfId="3660" xr:uid="{DC9E134D-C267-4C51-A85B-5E17CEE3B52B}"/>
    <cellStyle name="Input 4 3" xfId="1385" xr:uid="{00000000-0005-0000-0000-000069050000}"/>
    <cellStyle name="Input 4 4" xfId="3614" xr:uid="{24169DD6-5894-4CC1-BE69-B61D52C83021}"/>
    <cellStyle name="Input 4 5" xfId="3659" xr:uid="{A784B56B-7650-4648-8534-2B9F5AE0EF60}"/>
    <cellStyle name="Input 5" xfId="1386" xr:uid="{00000000-0005-0000-0000-00006A050000}"/>
    <cellStyle name="Input 5 2" xfId="1387" xr:uid="{00000000-0005-0000-0000-00006B050000}"/>
    <cellStyle name="Input 5 3" xfId="3612" xr:uid="{C0ECC8AF-F35F-4F2D-B8A4-7691F494F593}"/>
    <cellStyle name="Input 5 4" xfId="3661" xr:uid="{6528565D-F371-455F-898D-E0E31FE4D139}"/>
    <cellStyle name="Input 6" xfId="1388" xr:uid="{00000000-0005-0000-0000-00006C050000}"/>
    <cellStyle name="Input 6 2" xfId="1389" xr:uid="{00000000-0005-0000-0000-00006D050000}"/>
    <cellStyle name="Input 6 3" xfId="3611" xr:uid="{9B066DE3-4BA7-4F33-AC55-FB940D486AB3}"/>
    <cellStyle name="Input 6 4" xfId="3662" xr:uid="{92DABE5F-97E3-41FF-8798-5FC5D1D6DF4B}"/>
    <cellStyle name="Input 7" xfId="1390" xr:uid="{00000000-0005-0000-0000-00006E050000}"/>
    <cellStyle name="Input 7 2" xfId="1391" xr:uid="{00000000-0005-0000-0000-00006F050000}"/>
    <cellStyle name="Input 7 3" xfId="3610" xr:uid="{84E4764C-9C48-47C0-9995-1FF14785D200}"/>
    <cellStyle name="Input 7 4" xfId="3663" xr:uid="{3AED04F1-6CA4-47A0-A73A-90F854D5EFBF}"/>
    <cellStyle name="Input 8" xfId="1392" xr:uid="{00000000-0005-0000-0000-000070050000}"/>
    <cellStyle name="Input 8 2" xfId="1393" xr:uid="{00000000-0005-0000-0000-000071050000}"/>
    <cellStyle name="Input 8 3" xfId="3609" xr:uid="{90AF3169-BA5D-4DA7-9BC5-F037E84A7E49}"/>
    <cellStyle name="Input 8 4" xfId="3664" xr:uid="{749988D3-251A-4C1B-9A49-C37648722EAE}"/>
    <cellStyle name="Input 9" xfId="1394" xr:uid="{00000000-0005-0000-0000-000072050000}"/>
    <cellStyle name="Input 9 2" xfId="1395" xr:uid="{00000000-0005-0000-0000-000073050000}"/>
    <cellStyle name="Input 9 3" xfId="3608" xr:uid="{8CB7C364-2960-4899-848A-F0F15EF3B567}"/>
    <cellStyle name="Input 9 4" xfId="3665" xr:uid="{BCD3A065-913D-431C-ADBA-0BB602279C4B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 5" xfId="3406" xr:uid="{79E66656-12F0-419C-A978-76137FA94346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 6" xfId="3405" xr:uid="{E0DDBDEB-79E2-47FA-8FDD-D0033FDC05C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 5" xfId="3683" xr:uid="{D1D65389-C0C4-4759-9BF2-6A84FCB29791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3568" xr:uid="{F4DC7545-2D0B-4172-A83F-68B4145E4283}"/>
    <cellStyle name="Note 10 2 4" xfId="3686" xr:uid="{883B94DA-CCD6-467F-A2F5-24CFE9B9983B}"/>
    <cellStyle name="Note 10 3" xfId="2095" xr:uid="{00000000-0005-0000-0000-000030080000}"/>
    <cellStyle name="Note 10 4" xfId="3569" xr:uid="{B439B9D0-F086-4B53-91B8-11A5FC5F90FF}"/>
    <cellStyle name="Note 10 5" xfId="3685" xr:uid="{6293D730-4D22-49CC-BB57-F88E7FA179DE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3566" xr:uid="{205537AD-27B3-484A-A046-DAA93A7CF763}"/>
    <cellStyle name="Note 11 2 4" xfId="3688" xr:uid="{4833ED3F-0E1B-4AEB-A5DF-FC4412C1EB10}"/>
    <cellStyle name="Note 11 3" xfId="2100" xr:uid="{00000000-0005-0000-0000-000035080000}"/>
    <cellStyle name="Note 11 4" xfId="3567" xr:uid="{6EC65E93-1522-4D17-A0BE-8C74BA668353}"/>
    <cellStyle name="Note 11 5" xfId="3687" xr:uid="{0832E0D7-7CAD-4B0F-90DF-A0D7306941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3564" xr:uid="{C2E4B143-D2DB-43DB-AD30-3BF1A160D0B8}"/>
    <cellStyle name="Note 12 2 4" xfId="3690" xr:uid="{7F821820-206D-4443-96F3-FDA9A59379E6}"/>
    <cellStyle name="Note 12 3" xfId="2105" xr:uid="{00000000-0005-0000-0000-00003A080000}"/>
    <cellStyle name="Note 12 4" xfId="3565" xr:uid="{54D1241D-4B9E-43E4-B705-DED4A75B40A9}"/>
    <cellStyle name="Note 12 5" xfId="3689" xr:uid="{20710B06-7FE9-4204-B70D-C518434FACCD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3562" xr:uid="{6B7EC394-05B1-4CF9-BB00-1B2249B65C05}"/>
    <cellStyle name="Note 13 2 4" xfId="3718" xr:uid="{6E07A05C-E655-4DA1-B9DE-51AB15309B02}"/>
    <cellStyle name="Note 13 3" xfId="2110" xr:uid="{00000000-0005-0000-0000-00003F080000}"/>
    <cellStyle name="Note 13 4" xfId="3563" xr:uid="{DEAB9482-F2A6-4667-98AD-D865AC7A7C4A}"/>
    <cellStyle name="Note 13 5" xfId="3691" xr:uid="{79DC5C88-2516-41B6-8BAF-E481DA7D299B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3560" xr:uid="{E9D19252-62D7-4A88-9759-D4CB01E33F55}"/>
    <cellStyle name="Note 14 2 4" xfId="3693" xr:uid="{913FE86A-0461-403F-85F3-61759EF0D4FA}"/>
    <cellStyle name="Note 14 3" xfId="2115" xr:uid="{00000000-0005-0000-0000-000044080000}"/>
    <cellStyle name="Note 14 4" xfId="3561" xr:uid="{94C40CC5-C516-4102-B3F6-0B528B912C45}"/>
    <cellStyle name="Note 14 5" xfId="3692" xr:uid="{644D3D78-77FE-45D3-B1B2-EFB80893F6A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3401" xr:uid="{447E2A41-6D55-47E4-AC0F-15081734DEB9}"/>
    <cellStyle name="Note 15 2 4" xfId="3695" xr:uid="{2E1C3EAF-DB06-455B-908F-9DD84D3675CB}"/>
    <cellStyle name="Note 15 3" xfId="2120" xr:uid="{00000000-0005-0000-0000-000049080000}"/>
    <cellStyle name="Note 15 4" xfId="3559" xr:uid="{4F2BF2D7-D209-4E6A-8177-198508ED28F3}"/>
    <cellStyle name="Note 15 5" xfId="3694" xr:uid="{7A902CF9-2214-4517-BAED-BA31A4621FDA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3557" xr:uid="{00555360-C7B7-4F2B-8FDB-216071916004}"/>
    <cellStyle name="Note 16 2 4" xfId="3697" xr:uid="{1089D358-C93D-4D17-8D7B-1B44BB8C5277}"/>
    <cellStyle name="Note 16 3" xfId="2125" xr:uid="{00000000-0005-0000-0000-00004E080000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3555" xr:uid="{45B1441D-AE6D-46C5-AEC2-85594A12D1EB}"/>
    <cellStyle name="Note 17 2 4" xfId="3699" xr:uid="{26C49427-3E30-4F16-8A5E-92413AC99FBD}"/>
    <cellStyle name="Note 17 3" xfId="2130" xr:uid="{00000000-0005-0000-0000-000053080000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3553" xr:uid="{F03978FA-E04F-4277-95E6-FAD1D49926EA}"/>
    <cellStyle name="Note 18 2 4" xfId="3701" xr:uid="{3DEB7904-A9E8-4143-A7CB-224D7C13D7B7}"/>
    <cellStyle name="Note 18 3" xfId="2135" xr:uid="{00000000-0005-0000-0000-000058080000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3551" xr:uid="{C96B48D4-B188-4884-96F9-E2D0CACA5517}"/>
    <cellStyle name="Note 19 2 4" xfId="3719" xr:uid="{E75B1DB0-0CA9-4661-A19A-010B48AA39CC}"/>
    <cellStyle name="Note 19 3" xfId="2140" xr:uid="{00000000-0005-0000-0000-00005D080000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3549" xr:uid="{4C5C129E-6515-4E3E-BA25-EE6FC155D27F}"/>
    <cellStyle name="Note 2 2 4" xfId="3704" xr:uid="{622DD6A0-44B6-43A0-AE22-841D7BB90D71}"/>
    <cellStyle name="Note 2 3" xfId="2145" xr:uid="{00000000-0005-0000-0000-000062080000}"/>
    <cellStyle name="Note 2 3 2" xfId="2146" xr:uid="{00000000-0005-0000-0000-000063080000}"/>
    <cellStyle name="Note 2 3 3" xfId="3548" xr:uid="{8B3106CF-C714-414A-921D-022027D197E0}"/>
    <cellStyle name="Note 2 3 4" xfId="3705" xr:uid="{E4917F34-FFD0-47DE-BFE0-7FCD8BBE59C2}"/>
    <cellStyle name="Note 2 4" xfId="2147" xr:uid="{00000000-0005-0000-0000-000064080000}"/>
    <cellStyle name="Note 2 5" xfId="3550" xr:uid="{6CB81A76-ED24-4ED7-AF59-789FF31C7B8C}"/>
    <cellStyle name="Note 2 6" xfId="3703" xr:uid="{BE8C92E8-DF4D-4D27-9C15-4DB8A578E71D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3547" xr:uid="{930B3C45-3A81-41A1-B8A5-73EEBA6EC07F}"/>
    <cellStyle name="Note 20 2 4" xfId="3721" xr:uid="{70C3C946-639A-4258-9087-BA63F1E17274}"/>
    <cellStyle name="Note 20 3" xfId="2152" xr:uid="{00000000-0005-0000-0000-000069080000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3545" xr:uid="{8D750221-DD71-476A-8DCA-C80DBE0AB000}"/>
    <cellStyle name="Note 21 2 4" xfId="3708" xr:uid="{28794C6B-8DA4-4A24-A3B9-8784156A8684}"/>
    <cellStyle name="Note 21 3" xfId="2157" xr:uid="{00000000-0005-0000-0000-00006E080000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3543" xr:uid="{F4122DED-C15E-433F-8235-0605043DA0A5}"/>
    <cellStyle name="Note 22 2 4" xfId="3710" xr:uid="{C03BD515-6290-4DE6-A29F-B927056F3845}"/>
    <cellStyle name="Note 22 3" xfId="2162" xr:uid="{00000000-0005-0000-0000-000073080000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3541" xr:uid="{C07071DF-20A7-4DAC-BAC2-D5F383FE4C26}"/>
    <cellStyle name="Note 23 2 4" xfId="3712" xr:uid="{0BC56C7D-0C8B-4EE5-AEA3-EBD910803355}"/>
    <cellStyle name="Note 23 3" xfId="2167" xr:uid="{00000000-0005-0000-0000-000078080000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3539" xr:uid="{751B2724-C6F2-4E10-A967-21E90778C690}"/>
    <cellStyle name="Note 24 2 4" xfId="3713" xr:uid="{54E7B742-676B-4F32-9572-1FAD2580515C}"/>
    <cellStyle name="Note 24 3" xfId="2172" xr:uid="{00000000-0005-0000-0000-00007D080000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3537" xr:uid="{B82FEACA-FACC-4EA2-AEA3-71925ED3E03E}"/>
    <cellStyle name="Note 25 2 4" xfId="3742" xr:uid="{2BD86FE1-1D57-4CDA-9D49-41D8E5087A3B}"/>
    <cellStyle name="Note 25 3" xfId="2177" xr:uid="{00000000-0005-0000-0000-000082080000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3536" xr:uid="{2D1E6C0F-D5B7-420F-AD46-77217C05859B}"/>
    <cellStyle name="Note 26 2 4" xfId="3744" xr:uid="{88E6EB8A-E2C4-4593-8399-44BC4BE46C4B}"/>
    <cellStyle name="Note 26 3" xfId="2182" xr:uid="{00000000-0005-0000-0000-000087080000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3534" xr:uid="{5AC444B5-8157-4CFA-814A-AB0DC5DF1653}"/>
    <cellStyle name="Note 27 2 4" xfId="3746" xr:uid="{D6A73D59-906B-4324-960C-C7FDBA7FFB59}"/>
    <cellStyle name="Note 27 3" xfId="2187" xr:uid="{00000000-0005-0000-0000-00008C080000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3532" xr:uid="{2C4F44AD-B425-4181-B767-C02C4FBC57BD}"/>
    <cellStyle name="Note 28 2 4" xfId="3748" xr:uid="{EB9D02EE-F031-4000-9657-0DD3D4952E06}"/>
    <cellStyle name="Note 28 3" xfId="2192" xr:uid="{00000000-0005-0000-0000-000091080000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3530" xr:uid="{377B2BED-7111-468A-B6CA-7EE79B391CB4}"/>
    <cellStyle name="Note 29 2 4" xfId="3750" xr:uid="{46F3840F-B656-4617-BC84-A6872CE404D0}"/>
    <cellStyle name="Note 29 3" xfId="2197" xr:uid="{00000000-0005-0000-0000-000096080000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3528" xr:uid="{F87C0EF9-6694-49CD-AFB4-7215E914DA68}"/>
    <cellStyle name="Note 3 2 4" xfId="3752" xr:uid="{3BBBAED1-DCCF-47A6-94C4-91ED39175C7A}"/>
    <cellStyle name="Note 3 3" xfId="2202" xr:uid="{00000000-0005-0000-0000-00009B080000}"/>
    <cellStyle name="Note 3 4" xfId="3529" xr:uid="{9DD402F4-2AC4-413C-A7CA-D26262E3B4C4}"/>
    <cellStyle name="Note 3 5" xfId="3751" xr:uid="{EB4E66E2-8410-4190-8F4B-D466415C7E4B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3526" xr:uid="{718712D2-91DD-49F6-9EE3-C39EB3367EB3}"/>
    <cellStyle name="Note 30 2 4" xfId="3754" xr:uid="{98D3EBE0-74B2-491A-AE5B-9FDE3DCE7711}"/>
    <cellStyle name="Note 30 3" xfId="2207" xr:uid="{00000000-0005-0000-0000-0000A0080000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3525" xr:uid="{08AD6890-C3A9-40DC-B5CB-311C816D66EC}"/>
    <cellStyle name="Note 31 2 4" xfId="3756" xr:uid="{D4AD5B84-24D8-4074-88EC-3DFE55A21D76}"/>
    <cellStyle name="Note 31 3" xfId="2212" xr:uid="{00000000-0005-0000-0000-0000A5080000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3523" xr:uid="{72F5AAFB-3102-4217-9DAF-0E34128A8B23}"/>
    <cellStyle name="Note 32 2 4" xfId="3758" xr:uid="{9FA7BD7E-6913-4B05-AC48-AA4DBDFACDB3}"/>
    <cellStyle name="Note 32 3" xfId="2217" xr:uid="{00000000-0005-0000-0000-0000AA080000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3521" xr:uid="{CFB16BBE-FA6B-40C1-A198-48497A19FD0F}"/>
    <cellStyle name="Note 33 2 4" xfId="3760" xr:uid="{D73BDA2A-D5BF-480A-8C9B-ACB24E23CDA4}"/>
    <cellStyle name="Note 33 3" xfId="2222" xr:uid="{00000000-0005-0000-0000-0000AF080000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3519" xr:uid="{FB6E9F83-C002-4018-A05E-601C25724F0A}"/>
    <cellStyle name="Note 34 2 4" xfId="3762" xr:uid="{BA99EB05-11E5-496B-A8CF-28B89785D76A}"/>
    <cellStyle name="Note 34 3" xfId="2227" xr:uid="{00000000-0005-0000-0000-0000B4080000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3517" xr:uid="{2E613429-9D30-4F72-97F0-E4E74B9F3B7B}"/>
    <cellStyle name="Note 35 2 4" xfId="3764" xr:uid="{68C3A4C9-0C10-40F9-AA64-615FBE1086B4}"/>
    <cellStyle name="Note 35 3" xfId="2232" xr:uid="{00000000-0005-0000-0000-0000B9080000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3515" xr:uid="{885BC555-C792-429E-A840-B5D521D8B7BE}"/>
    <cellStyle name="Note 36 2 4" xfId="3766" xr:uid="{6EAEBF62-AD97-436C-B9C1-405D98BFED16}"/>
    <cellStyle name="Note 36 3" xfId="2237" xr:uid="{00000000-0005-0000-0000-0000BE080000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3514" xr:uid="{4C906F2A-FA0C-4CAE-9F4A-99F52A1C8590}"/>
    <cellStyle name="Note 37 2 4" xfId="3768" xr:uid="{ED70CF91-976A-41DC-AB01-FD1D7ADEA733}"/>
    <cellStyle name="Note 37 3" xfId="2242" xr:uid="{00000000-0005-0000-0000-0000C3080000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3512" xr:uid="{D16D38EA-B665-40B5-BC2E-2C6B6FE66526}"/>
    <cellStyle name="Note 38 2 4" xfId="3770" xr:uid="{33D4E884-4EA2-4C83-B185-E013031A2735}"/>
    <cellStyle name="Note 38 3" xfId="2247" xr:uid="{00000000-0005-0000-0000-0000C8080000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3510" xr:uid="{B794D999-C943-4C52-8CCA-5BE2BE143E4B}"/>
    <cellStyle name="Note 39 2 4" xfId="3772" xr:uid="{8A9B16EE-F3BC-4E1C-AC90-E53BDB02490E}"/>
    <cellStyle name="Note 39 3" xfId="2252" xr:uid="{00000000-0005-0000-0000-0000CD080000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3508" xr:uid="{3D876ED0-A5C3-4C14-9E3B-2BCFB76F5D4A}"/>
    <cellStyle name="Note 4 2 4" xfId="3774" xr:uid="{7FE38EE5-769B-413C-85C5-CD7DD8474CDF}"/>
    <cellStyle name="Note 4 3" xfId="2257" xr:uid="{00000000-0005-0000-0000-0000D2080000}"/>
    <cellStyle name="Note 4 4" xfId="3509" xr:uid="{089A340B-7B90-4355-96E5-8BC71AF0B48E}"/>
    <cellStyle name="Note 4 5" xfId="3773" xr:uid="{AD92EDDE-3208-4F5A-A0E5-07C972F5446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3506" xr:uid="{F933FB09-42B9-4507-8916-50ABABF60FD7}"/>
    <cellStyle name="Note 40 2 4" xfId="3776" xr:uid="{1972F074-87A6-405E-A1D8-A8C2498F5FCB}"/>
    <cellStyle name="Note 40 3" xfId="2262" xr:uid="{00000000-0005-0000-0000-0000D7080000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3504" xr:uid="{1D9CC0D4-8FA2-47C7-A3A3-ABEBFF6CF84B}"/>
    <cellStyle name="Note 41 2 4" xfId="3778" xr:uid="{8448DE82-F038-4EB3-B3AA-D767D2CFA26A}"/>
    <cellStyle name="Note 41 3" xfId="2267" xr:uid="{00000000-0005-0000-0000-0000DC080000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3503" xr:uid="{153B1233-EC62-442B-89A0-41FB8C806F7F}"/>
    <cellStyle name="Note 42 2 4" xfId="3780" xr:uid="{167E6E77-9CAE-49CD-8183-F95E5913593F}"/>
    <cellStyle name="Note 42 3" xfId="2272" xr:uid="{00000000-0005-0000-0000-0000E1080000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3501" xr:uid="{4E76DD36-63D5-42EC-92B0-2D4F57F351EA}"/>
    <cellStyle name="Note 43 2 4" xfId="3782" xr:uid="{F310EF74-1721-4F8C-BA94-F44EC629855B}"/>
    <cellStyle name="Note 43 3" xfId="2277" xr:uid="{00000000-0005-0000-0000-0000E6080000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3499" xr:uid="{23BAAFA5-0C22-4091-81C4-F2A5746E5773}"/>
    <cellStyle name="Note 44 2 4" xfId="3784" xr:uid="{C7575516-FCE6-4E85-84F8-93A188CE90F2}"/>
    <cellStyle name="Note 44 3" xfId="2282" xr:uid="{00000000-0005-0000-0000-0000EB080000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3497" xr:uid="{6F2283C3-44BB-44DA-9A03-5E56A4E1B4C8}"/>
    <cellStyle name="Note 45 2 4" xfId="3786" xr:uid="{DD14E96D-1CA3-4A9A-9187-0033578CECCE}"/>
    <cellStyle name="Note 45 3" xfId="2287" xr:uid="{00000000-0005-0000-0000-0000F0080000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3495" xr:uid="{B7F6E97F-9E98-4336-8F74-E517BE17BC83}"/>
    <cellStyle name="Note 46 2 4" xfId="3788" xr:uid="{9A30BB75-68FD-4E72-9C11-8F0A3D55B8FF}"/>
    <cellStyle name="Note 46 3" xfId="2292" xr:uid="{00000000-0005-0000-0000-0000F5080000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3493" xr:uid="{35C366E7-8088-44EC-B0AF-2617F0606FA1}"/>
    <cellStyle name="Note 47 2 4" xfId="3790" xr:uid="{470AF73F-416E-4A36-90AA-836FDF5CA7CE}"/>
    <cellStyle name="Note 47 3" xfId="2297" xr:uid="{00000000-0005-0000-0000-0000FA080000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3492" xr:uid="{7CE198DC-0115-464E-A1C4-223E0AAE90AC}"/>
    <cellStyle name="Note 48 2 4" xfId="3792" xr:uid="{89D609BA-3BA0-4D96-A1E1-974508AFE610}"/>
    <cellStyle name="Note 48 3" xfId="2302" xr:uid="{00000000-0005-0000-0000-0000FF080000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3490" xr:uid="{1B7EAA1F-7834-456F-B2E5-EE0408F86FFA}"/>
    <cellStyle name="Note 49 2 4" xfId="3794" xr:uid="{DFCDA04A-EB78-496B-AAEF-2D24EC7007F1}"/>
    <cellStyle name="Note 49 3" xfId="2307" xr:uid="{00000000-0005-0000-0000-000004090000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3488" xr:uid="{D0A6A90D-61E6-421D-B78E-AE8B4EEA32A7}"/>
    <cellStyle name="Note 5 2 4" xfId="3796" xr:uid="{5C7B7C29-E063-4758-9FF4-3FC3B0C8E24E}"/>
    <cellStyle name="Note 5 3" xfId="2312" xr:uid="{00000000-0005-0000-0000-000009090000}"/>
    <cellStyle name="Note 5 4" xfId="3489" xr:uid="{995A962C-CC91-4EF5-A0F3-9CAC9EF2A8CA}"/>
    <cellStyle name="Note 5 5" xfId="3795" xr:uid="{795858D3-D92B-439C-9FED-D5B29D5BFF83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3486" xr:uid="{3C9DD515-0C38-4E24-B822-8F706051D6A5}"/>
    <cellStyle name="Note 50 2 4" xfId="3798" xr:uid="{CD1C446A-618F-425E-85D4-F95D0A78DD20}"/>
    <cellStyle name="Note 50 3" xfId="2317" xr:uid="{00000000-0005-0000-0000-00000E090000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3484" xr:uid="{D2F38DBA-96C5-4508-8348-11CD1E2879B9}"/>
    <cellStyle name="Note 51 2 4" xfId="3800" xr:uid="{062DEFCE-F557-432B-BEEB-74BFA5FB3049}"/>
    <cellStyle name="Note 51 3" xfId="2322" xr:uid="{00000000-0005-0000-0000-000013090000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3482" xr:uid="{1ECF9EF7-5CDC-4842-8EED-7A7158C36454}"/>
    <cellStyle name="Note 52 2 4" xfId="3802" xr:uid="{7FB1FDD6-88C6-438D-9D1A-22DFACA65859}"/>
    <cellStyle name="Note 52 3" xfId="2327" xr:uid="{00000000-0005-0000-0000-000018090000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3481" xr:uid="{E4FD0A0F-AEA7-40CE-B594-83368061886E}"/>
    <cellStyle name="Note 53 2 4" xfId="3804" xr:uid="{9720FAE0-5104-49B6-82D6-C7E06045B1AB}"/>
    <cellStyle name="Note 53 3" xfId="2332" xr:uid="{00000000-0005-0000-0000-00001D090000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3479" xr:uid="{990101D9-287F-48E8-A556-C06EE6895E55}"/>
    <cellStyle name="Note 54 2 4" xfId="3806" xr:uid="{DDFAA899-5C3A-4D12-AD4D-75ADF149E9B2}"/>
    <cellStyle name="Note 54 3" xfId="2337" xr:uid="{00000000-0005-0000-0000-000022090000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3477" xr:uid="{E90D818D-A7FA-4CC4-A9F3-6EBCFF1E604A}"/>
    <cellStyle name="Note 55 2 4" xfId="3808" xr:uid="{1E3255EC-C1C4-4C0B-BB27-614AB08AAA2F}"/>
    <cellStyle name="Note 55 3" xfId="2342" xr:uid="{00000000-0005-0000-0000-000027090000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3475" xr:uid="{AAF47213-36DC-46F2-B03F-A50480979786}"/>
    <cellStyle name="Note 56 2 4" xfId="3810" xr:uid="{329BAC08-0649-4D00-9FDF-DF6523AA9E5B}"/>
    <cellStyle name="Note 56 3" xfId="2347" xr:uid="{00000000-0005-0000-0000-00002C090000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3473" xr:uid="{89D3CF2D-DC43-4D24-9CD4-B7275832E265}"/>
    <cellStyle name="Note 57 2 4" xfId="3812" xr:uid="{EAD1D9D9-99AD-40FB-93F3-4A3B33853E08}"/>
    <cellStyle name="Note 57 3" xfId="2352" xr:uid="{00000000-0005-0000-0000-00003109000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3471" xr:uid="{3C78692E-5082-40E6-B7C3-C43F58BCCAC2}"/>
    <cellStyle name="Note 58 2 4" xfId="3814" xr:uid="{912DA850-2B74-4B59-BECC-BF680D65EF3A}"/>
    <cellStyle name="Note 58 3" xfId="2357" xr:uid="{00000000-0005-0000-0000-000036090000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3470" xr:uid="{2B8C3AA4-8A17-4CB0-8C48-8DFBE13BD1F0}"/>
    <cellStyle name="Note 59 2 4" xfId="3816" xr:uid="{D73B4D2D-2E63-4A5C-BEAC-89108EDD6216}"/>
    <cellStyle name="Note 59 3" xfId="2362" xr:uid="{00000000-0005-0000-0000-00003B090000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3468" xr:uid="{97EC34DB-90D0-40F0-8583-4477EFC3B95C}"/>
    <cellStyle name="Note 6 2 4" xfId="3818" xr:uid="{92300398-3963-49A4-8915-9C5B5AB884F5}"/>
    <cellStyle name="Note 6 3" xfId="2367" xr:uid="{00000000-0005-0000-0000-000040090000}"/>
    <cellStyle name="Note 6 4" xfId="3469" xr:uid="{B4B897CE-54BF-4873-B498-E92023131A54}"/>
    <cellStyle name="Note 6 5" xfId="3817" xr:uid="{BC032CB4-A068-4FC7-8B5C-389A088A1642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3466" xr:uid="{4AA7F023-836A-40A8-806A-A4F62DC226CA}"/>
    <cellStyle name="Note 60 2 4" xfId="3820" xr:uid="{AF4EC94C-CD3C-4971-8C78-1017E88ABA13}"/>
    <cellStyle name="Note 60 3" xfId="2372" xr:uid="{00000000-0005-0000-0000-00004509000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3464" xr:uid="{DDDE5100-46D0-486E-80CF-D7BD87181EE7}"/>
    <cellStyle name="Note 61 2 4" xfId="3822" xr:uid="{66EBCC7F-DAB8-45A0-B165-E680D51691D2}"/>
    <cellStyle name="Note 61 3" xfId="2377" xr:uid="{00000000-0005-0000-0000-00004A090000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3462" xr:uid="{1258BD25-7A58-4C7F-986D-5AAAE1D66947}"/>
    <cellStyle name="Note 62 2 4" xfId="3824" xr:uid="{C0394381-856B-4E2A-856C-2B85FD9E3C78}"/>
    <cellStyle name="Note 62 3" xfId="2382" xr:uid="{00000000-0005-0000-0000-00004F090000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3460" xr:uid="{F029531F-8344-4B58-810E-3D5203E21624}"/>
    <cellStyle name="Note 63 2 4" xfId="3826" xr:uid="{1FB6AD51-60BF-47B0-BA1C-83CDA1B030DD}"/>
    <cellStyle name="Note 63 3" xfId="2387" xr:uid="{00000000-0005-0000-0000-000054090000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3459" xr:uid="{40E0B932-C626-4C4F-9C61-75395C08E8DF}"/>
    <cellStyle name="Note 64 2 4" xfId="3828" xr:uid="{43D7102F-D88C-46F6-89C7-B939854C8691}"/>
    <cellStyle name="Note 64 3" xfId="2392" xr:uid="{00000000-0005-0000-0000-000059090000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3457" xr:uid="{CA92A2EF-0D7A-49C5-8FC6-ACFD0EAED52D}"/>
    <cellStyle name="Note 65 2 4" xfId="3830" xr:uid="{11BF8F55-4D06-414D-8391-1246CBE5827F}"/>
    <cellStyle name="Note 65 3" xfId="2397" xr:uid="{00000000-0005-0000-0000-00005E09000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3455" xr:uid="{081B59F1-515D-435D-A288-DE6361961218}"/>
    <cellStyle name="Note 66 2 4" xfId="3832" xr:uid="{037AF8C6-EC11-48A2-AC8D-059B870460BB}"/>
    <cellStyle name="Note 66 3" xfId="2402" xr:uid="{00000000-0005-0000-0000-000063090000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3453" xr:uid="{C48223B8-8F65-4898-AE82-DE72A4859E49}"/>
    <cellStyle name="Note 67 2 4" xfId="3834" xr:uid="{84B26C43-B468-43D1-81DA-FD855E5E15A6}"/>
    <cellStyle name="Note 67 3" xfId="2407" xr:uid="{00000000-0005-0000-0000-000068090000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3451" xr:uid="{7608682C-D614-4A73-B7D8-6B9C9E2980FB}"/>
    <cellStyle name="Note 68 2 4" xfId="3836" xr:uid="{162450D7-F95E-4FAD-B544-3E51D8F7D45A}"/>
    <cellStyle name="Note 68 3" xfId="2412" xr:uid="{00000000-0005-0000-0000-00006D090000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3449" xr:uid="{FFCCD98F-4E39-4BBE-9F3A-7C01D55065D7}"/>
    <cellStyle name="Note 69 2 4" xfId="3838" xr:uid="{E89EACE2-33B6-47DE-935C-4A527E5C934F}"/>
    <cellStyle name="Note 69 3" xfId="2417" xr:uid="{00000000-0005-0000-0000-000072090000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3448" xr:uid="{923C6867-DA69-4362-9B42-E45F8A03D181}"/>
    <cellStyle name="Note 7 2 4" xfId="3840" xr:uid="{A0D7EE96-6F9A-48DC-AB8C-6831A57B87A7}"/>
    <cellStyle name="Note 7 3" xfId="2422" xr:uid="{00000000-0005-0000-0000-000077090000}"/>
    <cellStyle name="Note 7 4" xfId="3391" xr:uid="{ADAC95AB-0335-44D0-A3AE-7575F66058E7}"/>
    <cellStyle name="Note 7 5" xfId="3839" xr:uid="{0074306A-67FF-4F11-B876-3679BDFF4C5F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3446" xr:uid="{417A6E39-FE34-4312-9F58-6F02602995FE}"/>
    <cellStyle name="Note 70 2 4" xfId="3842" xr:uid="{FA4A274E-6C9A-47C9-9947-4587FBC73319}"/>
    <cellStyle name="Note 70 3" xfId="2427" xr:uid="{00000000-0005-0000-0000-00007C090000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3444" xr:uid="{7DD1238F-C7D2-417B-8478-7DA968FE23FF}"/>
    <cellStyle name="Note 71 2 4" xfId="3844" xr:uid="{EAD1318D-E4A7-4ACA-9E7E-FCB1EBC627CB}"/>
    <cellStyle name="Note 71 3" xfId="2432" xr:uid="{00000000-0005-0000-0000-000081090000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3442" xr:uid="{AA1E0486-FDEF-46DE-99BE-362FF04E9F90}"/>
    <cellStyle name="Note 72 2 4" xfId="3846" xr:uid="{AA31320A-46C1-40AD-BB49-16F9AEC066F5}"/>
    <cellStyle name="Note 72 3" xfId="2437" xr:uid="{00000000-0005-0000-0000-000086090000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3440" xr:uid="{24B1816B-CE50-40B1-B466-4A7CD878D5AF}"/>
    <cellStyle name="Note 73 2 4" xfId="3848" xr:uid="{1075EE02-CD5E-4D84-9C53-318421321385}"/>
    <cellStyle name="Note 73 3" xfId="2442" xr:uid="{00000000-0005-0000-0000-00008B090000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3438" xr:uid="{2C949DF1-50AA-4345-9438-D65C5564374F}"/>
    <cellStyle name="Note 74 2 4" xfId="3850" xr:uid="{2D90E540-5BCE-4728-8C71-6949D0940C7A}"/>
    <cellStyle name="Note 74 3" xfId="2447" xr:uid="{00000000-0005-0000-0000-000090090000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3437" xr:uid="{14B96D1B-7F2E-4588-A3C6-DD8DE823F93F}"/>
    <cellStyle name="Note 75 2 4" xfId="3852" xr:uid="{4BFF4153-CFB2-4FCB-A428-BDAA4852C4B0}"/>
    <cellStyle name="Note 75 3" xfId="2452" xr:uid="{00000000-0005-0000-0000-000095090000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3435" xr:uid="{8E43AD71-6F7D-4403-9C05-05DC9E0C9B47}"/>
    <cellStyle name="Note 76 2 4" xfId="3854" xr:uid="{47BFCD3F-AC23-4157-B93C-E5BB2D0E38CF}"/>
    <cellStyle name="Note 76 3" xfId="2457" xr:uid="{00000000-0005-0000-0000-00009A090000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3433" xr:uid="{0940FEDE-0766-4A11-A202-D085A79BDE95}"/>
    <cellStyle name="Note 77 2 4" xfId="3856" xr:uid="{C26E0A07-6029-44DF-8DFF-4195E532FFE4}"/>
    <cellStyle name="Note 77 3" xfId="2462" xr:uid="{00000000-0005-0000-0000-00009F090000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3431" xr:uid="{83FB903F-87B4-407A-AAD7-B191B3C7BEEE}"/>
    <cellStyle name="Note 78 2 4" xfId="3858" xr:uid="{599DEC17-F1CE-44A6-A138-67D2C384B154}"/>
    <cellStyle name="Note 78 3" xfId="2467" xr:uid="{00000000-0005-0000-0000-0000A4090000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3429" xr:uid="{F0A438FA-079E-4EF0-8A2C-8E256FCE634C}"/>
    <cellStyle name="Note 8 2 4" xfId="3860" xr:uid="{2BA832EF-8763-4C69-A9D1-1F3C8ADFC82C}"/>
    <cellStyle name="Note 8 3" xfId="2472" xr:uid="{00000000-0005-0000-0000-0000A9090000}"/>
    <cellStyle name="Note 8 4" xfId="3430" xr:uid="{442B1ED4-E270-45F6-B5BE-1D37D8BF2CAF}"/>
    <cellStyle name="Note 8 5" xfId="3859" xr:uid="{9E67279A-3CCB-4525-ACD7-9AD7E6C144BA}"/>
    <cellStyle name="Note 8_TRAFO" xfId="2473" xr:uid="{00000000-0005-0000-0000-0000AA090000}"/>
    <cellStyle name="Note 80" xfId="3408" xr:uid="{4C3C4D5C-8407-419D-B626-BCFFB7297398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3427" xr:uid="{9B3E35A4-5265-4515-AB2E-2DD548422D3D}"/>
    <cellStyle name="Note 9 2 4" xfId="3862" xr:uid="{EB9FB1A4-8DD5-4DC2-8456-04652E426818}"/>
    <cellStyle name="Note 9 3" xfId="2477" xr:uid="{00000000-0005-0000-0000-0000AE090000}"/>
    <cellStyle name="Note 9 4" xfId="3428" xr:uid="{8373F495-11D6-4841-8C75-7D85A5C0603C}"/>
    <cellStyle name="Note 9 5" xfId="3861" xr:uid="{9B20A953-5E2F-4CBE-8833-98B1E3BAF2A9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3389" xr:uid="{23C879BC-38B1-427B-8072-6D980818F706}"/>
    <cellStyle name="Output 10 4" xfId="3863" xr:uid="{949CC612-1249-44B6-8FC4-805AF5A5F829}"/>
    <cellStyle name="Output 11" xfId="2482" xr:uid="{00000000-0005-0000-0000-0000B3090000}"/>
    <cellStyle name="Output 11 2" xfId="2483" xr:uid="{00000000-0005-0000-0000-0000B4090000}"/>
    <cellStyle name="Output 11 3" xfId="3426" xr:uid="{A020EEDD-4438-433A-8CB1-9F0735CDBA2A}"/>
    <cellStyle name="Output 11 4" xfId="3864" xr:uid="{5452D4DE-0056-4A80-9628-747F8C290C30}"/>
    <cellStyle name="Output 12" xfId="2484" xr:uid="{00000000-0005-0000-0000-0000B5090000}"/>
    <cellStyle name="Output 12 2" xfId="2485" xr:uid="{00000000-0005-0000-0000-0000B6090000}"/>
    <cellStyle name="Output 12 3" xfId="3425" xr:uid="{FA4F44FE-79C9-4B05-9A78-EB3E9019C4E3}"/>
    <cellStyle name="Output 12 4" xfId="3865" xr:uid="{C7F14499-D015-464F-B86B-CE81A39BEE9E}"/>
    <cellStyle name="Output 13" xfId="2486" xr:uid="{00000000-0005-0000-0000-0000B7090000}"/>
    <cellStyle name="Output 13 2" xfId="2487" xr:uid="{00000000-0005-0000-0000-0000B8090000}"/>
    <cellStyle name="Output 13 3" xfId="3424" xr:uid="{B868EE45-DE53-40D3-81B5-A7DADA0F053C}"/>
    <cellStyle name="Output 13 4" xfId="3866" xr:uid="{C351880F-000F-4E09-8986-90201E6E41A2}"/>
    <cellStyle name="Output 14" xfId="2488" xr:uid="{00000000-0005-0000-0000-0000B9090000}"/>
    <cellStyle name="Output 14 2" xfId="2489" xr:uid="{00000000-0005-0000-0000-0000BA090000}"/>
    <cellStyle name="Output 14 3" xfId="3423" xr:uid="{AE375810-D614-4DBD-9518-D9FC1010BE67}"/>
    <cellStyle name="Output 14 4" xfId="3867" xr:uid="{74263D2C-30DA-4A7A-99DB-E10AC6C3DEFD}"/>
    <cellStyle name="Output 15" xfId="2490" xr:uid="{00000000-0005-0000-0000-0000BB090000}"/>
    <cellStyle name="Output 15 2" xfId="2491" xr:uid="{00000000-0005-0000-0000-0000BC090000}"/>
    <cellStyle name="Output 15 3" xfId="3422" xr:uid="{84F4FEC9-15A0-4724-8695-723B8FB7C74C}"/>
    <cellStyle name="Output 15 4" xfId="3868" xr:uid="{74BFF7CF-DB80-4826-8558-9A0BD75E32CE}"/>
    <cellStyle name="Output 16" xfId="2492" xr:uid="{00000000-0005-0000-0000-0000BD090000}"/>
    <cellStyle name="Output 16 2" xfId="2493" xr:uid="{00000000-0005-0000-0000-0000BE090000}"/>
    <cellStyle name="Output 16 3" xfId="3421" xr:uid="{A7D3010F-7882-40AE-A427-EB800A28CF7F}"/>
    <cellStyle name="Output 16 4" xfId="3869" xr:uid="{BAF3036D-E1DD-4A51-8BC9-3C0C19898099}"/>
    <cellStyle name="Output 17" xfId="3714" xr:uid="{404C3867-F973-4051-BDB4-B19AED654F7A}"/>
    <cellStyle name="Output 18" xfId="3409" xr:uid="{8CBAB434-9761-4EC3-93AB-7411350CCBB5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3419" xr:uid="{33193668-AFFE-4918-AA05-18B28EF238A9}"/>
    <cellStyle name="Output 2 2 4" xfId="3871" xr:uid="{D38A73A0-B24C-4CF1-B146-363C66C012C5}"/>
    <cellStyle name="Output 2 3" xfId="2497" xr:uid="{00000000-0005-0000-0000-0000C2090000}"/>
    <cellStyle name="Output 2 3 2" xfId="2498" xr:uid="{00000000-0005-0000-0000-0000C3090000}"/>
    <cellStyle name="Output 2 3 3" xfId="3418" xr:uid="{8858D5E1-9166-4003-B730-34FAEF09A2E2}"/>
    <cellStyle name="Output 2 3 4" xfId="3872" xr:uid="{8B54AC59-3240-4F56-B920-BF68BC9F1E19}"/>
    <cellStyle name="Output 2 4" xfId="2499" xr:uid="{00000000-0005-0000-0000-0000C4090000}"/>
    <cellStyle name="Output 2 5" xfId="3420" xr:uid="{2F42F3E0-371E-4E70-886A-882B28D3BE76}"/>
    <cellStyle name="Output 2 6" xfId="3870" xr:uid="{9378770E-67D6-44FC-BC4A-47CD2D9DDDBF}"/>
    <cellStyle name="Output 3" xfId="2500" xr:uid="{00000000-0005-0000-0000-0000C5090000}"/>
    <cellStyle name="Output 3 2" xfId="2501" xr:uid="{00000000-0005-0000-0000-0000C6090000}"/>
    <cellStyle name="Output 3 3" xfId="3417" xr:uid="{1A6B0C71-374D-4F4D-B326-2162AC375306}"/>
    <cellStyle name="Output 3 4" xfId="3873" xr:uid="{F4617A6D-2393-497B-8C6B-DD8A005DF71D}"/>
    <cellStyle name="Output 4" xfId="2502" xr:uid="{00000000-0005-0000-0000-0000C7090000}"/>
    <cellStyle name="Output 4 2" xfId="2503" xr:uid="{00000000-0005-0000-0000-0000C8090000}"/>
    <cellStyle name="Output 4 3" xfId="3416" xr:uid="{CE34D8EC-40C0-432D-8B08-AB0B13CE84A2}"/>
    <cellStyle name="Output 4 4" xfId="3874" xr:uid="{7472B21D-2279-42C8-893D-EE22032A765D}"/>
    <cellStyle name="Output 5" xfId="2504" xr:uid="{00000000-0005-0000-0000-0000C9090000}"/>
    <cellStyle name="Output 5 2" xfId="2505" xr:uid="{00000000-0005-0000-0000-0000CA090000}"/>
    <cellStyle name="Output 5 3" xfId="3415" xr:uid="{367A79ED-81E1-4820-AFE9-BD9D2F9779FA}"/>
    <cellStyle name="Output 5 4" xfId="3875" xr:uid="{FA247623-8A70-4589-A77C-EF0B4FB7D0F6}"/>
    <cellStyle name="Output 6" xfId="2506" xr:uid="{00000000-0005-0000-0000-0000CB090000}"/>
    <cellStyle name="Output 6 2" xfId="2507" xr:uid="{00000000-0005-0000-0000-0000CC090000}"/>
    <cellStyle name="Output 6 3" xfId="3414" xr:uid="{5592B122-96F2-41B4-9F83-873BEAD05476}"/>
    <cellStyle name="Output 6 4" xfId="3876" xr:uid="{613CAC58-BEB1-4191-9793-7610CEE44845}"/>
    <cellStyle name="Output 7" xfId="2508" xr:uid="{00000000-0005-0000-0000-0000CD090000}"/>
    <cellStyle name="Output 7 2" xfId="2509" xr:uid="{00000000-0005-0000-0000-0000CE090000}"/>
    <cellStyle name="Output 7 3" xfId="3413" xr:uid="{AE3389DF-2464-4099-8BB8-158966213727}"/>
    <cellStyle name="Output 7 4" xfId="3877" xr:uid="{10391603-483F-4F78-8174-C0DE624A62FF}"/>
    <cellStyle name="Output 8" xfId="2510" xr:uid="{00000000-0005-0000-0000-0000CF090000}"/>
    <cellStyle name="Output 8 2" xfId="2511" xr:uid="{00000000-0005-0000-0000-0000D0090000}"/>
    <cellStyle name="Output 8 3" xfId="3412" xr:uid="{F99A4484-96DF-4229-9991-F87C65C67450}"/>
    <cellStyle name="Output 8 4" xfId="3878" xr:uid="{526C98A9-F1E0-4442-BC65-7DD604074A72}"/>
    <cellStyle name="Output 9" xfId="2512" xr:uid="{00000000-0005-0000-0000-0000D1090000}"/>
    <cellStyle name="Output 9 2" xfId="2513" xr:uid="{00000000-0005-0000-0000-0000D2090000}"/>
    <cellStyle name="Output 9 3" xfId="3411" xr:uid="{23C653BE-F4A1-4F1B-9333-25D34FA1192E}"/>
    <cellStyle name="Output 9 4" xfId="3879" xr:uid="{C4F4F3AA-ACF9-40CF-86BA-D553AFCC6248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3724" xr:uid="{86E145AE-4552-483F-9E81-C255B03648C9}"/>
    <cellStyle name="Total 10 4" xfId="3882" xr:uid="{47D89516-8FC2-466D-BA5A-5C86D29C9526}"/>
    <cellStyle name="Total 11" xfId="2619" xr:uid="{00000000-0005-0000-0000-00003D0A0000}"/>
    <cellStyle name="Total 11 2" xfId="2620" xr:uid="{00000000-0005-0000-0000-00003E0A0000}"/>
    <cellStyle name="Total 11 3" xfId="3725" xr:uid="{13848CE4-A845-48E4-9104-64104333B927}"/>
    <cellStyle name="Total 11 4" xfId="3883" xr:uid="{1C26165E-8C75-4309-ADB3-A0440765934C}"/>
    <cellStyle name="Total 12" xfId="2621" xr:uid="{00000000-0005-0000-0000-00003F0A0000}"/>
    <cellStyle name="Total 12 2" xfId="2622" xr:uid="{00000000-0005-0000-0000-0000400A0000}"/>
    <cellStyle name="Total 12 3" xfId="3726" xr:uid="{CBD45986-39E9-44A1-B75F-FB781600BF4D}"/>
    <cellStyle name="Total 12 4" xfId="3884" xr:uid="{E6D2A310-C98B-4C22-9965-F07450C3CACD}"/>
    <cellStyle name="Total 13" xfId="2623" xr:uid="{00000000-0005-0000-0000-0000410A0000}"/>
    <cellStyle name="Total 13 2" xfId="2624" xr:uid="{00000000-0005-0000-0000-0000420A0000}"/>
    <cellStyle name="Total 13 3" xfId="3727" xr:uid="{D4A0B537-429B-4AA2-AAB4-9096E2FBFE18}"/>
    <cellStyle name="Total 13 4" xfId="3885" xr:uid="{54465F3A-9643-49F2-B909-C356D31B87CC}"/>
    <cellStyle name="Total 14" xfId="2625" xr:uid="{00000000-0005-0000-0000-0000430A0000}"/>
    <cellStyle name="Total 14 2" xfId="2626" xr:uid="{00000000-0005-0000-0000-0000440A0000}"/>
    <cellStyle name="Total 14 3" xfId="3728" xr:uid="{F172138A-309D-45C5-8619-65549C71FD94}"/>
    <cellStyle name="Total 14 4" xfId="3886" xr:uid="{F6C4AE91-A886-4693-ACDB-D7D2EABD659E}"/>
    <cellStyle name="Total 15" xfId="2627" xr:uid="{00000000-0005-0000-0000-0000450A0000}"/>
    <cellStyle name="Total 15 2" xfId="2628" xr:uid="{00000000-0005-0000-0000-0000460A0000}"/>
    <cellStyle name="Total 15 3" xfId="3729" xr:uid="{8F513A61-49F1-42B1-9005-E596941EBDCD}"/>
    <cellStyle name="Total 15 4" xfId="3887" xr:uid="{841FA0FC-A8FB-4A81-A9A2-6D1E9547489B}"/>
    <cellStyle name="Total 16" xfId="2629" xr:uid="{00000000-0005-0000-0000-0000470A0000}"/>
    <cellStyle name="Total 16 2" xfId="2630" xr:uid="{00000000-0005-0000-0000-0000480A0000}"/>
    <cellStyle name="Total 16 3" xfId="3730" xr:uid="{BAD29367-B061-41D9-B868-4B176FD2C766}"/>
    <cellStyle name="Total 16 4" xfId="3888" xr:uid="{0BBE37B0-847D-43BE-ACB2-D576B2B11AC1}"/>
    <cellStyle name="Total 17" xfId="3404" xr:uid="{DFF4C364-18BE-4071-BB53-D1CDA624EC41}"/>
    <cellStyle name="Total 18" xfId="3410" xr:uid="{B9AC091C-9B6F-4475-B592-F1A1B28B63DB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3732" xr:uid="{87B8E481-9F0D-49CC-9011-3BA0104C3285}"/>
    <cellStyle name="Total 2 2 4" xfId="3890" xr:uid="{4D9D757D-0ECD-465B-AAC0-70CE798DCD55}"/>
    <cellStyle name="Total 2 3" xfId="2634" xr:uid="{00000000-0005-0000-0000-00004C0A0000}"/>
    <cellStyle name="Total 2 3 2" xfId="2635" xr:uid="{00000000-0005-0000-0000-00004D0A0000}"/>
    <cellStyle name="Total 2 3 3" xfId="3733" xr:uid="{8D5F63D0-937F-4AF0-921D-855A2464779B}"/>
    <cellStyle name="Total 2 3 4" xfId="3891" xr:uid="{D2870CC4-1BFE-42E5-85D9-456A83543970}"/>
    <cellStyle name="Total 2 4" xfId="2636" xr:uid="{00000000-0005-0000-0000-00004E0A0000}"/>
    <cellStyle name="Total 2 5" xfId="3731" xr:uid="{1C2B8D53-325D-4991-9936-4BCEF4AD4213}"/>
    <cellStyle name="Total 2 6" xfId="3889" xr:uid="{07E61543-3F01-446D-A797-705F4854D11C}"/>
    <cellStyle name="Total 3" xfId="2637" xr:uid="{00000000-0005-0000-0000-00004F0A0000}"/>
    <cellStyle name="Total 3 2" xfId="2638" xr:uid="{00000000-0005-0000-0000-0000500A0000}"/>
    <cellStyle name="Total 3 3" xfId="3734" xr:uid="{8CA0F4EE-DB20-45AA-84B7-DBBB1EA56B3C}"/>
    <cellStyle name="Total 3 4" xfId="3892" xr:uid="{14BAE761-CB6F-47AC-AAC8-D819EC5893E7}"/>
    <cellStyle name="Total 4" xfId="2639" xr:uid="{00000000-0005-0000-0000-0000510A0000}"/>
    <cellStyle name="Total 4 2" xfId="2640" xr:uid="{00000000-0005-0000-0000-0000520A0000}"/>
    <cellStyle name="Total 4 3" xfId="3735" xr:uid="{50748572-3DE8-41E8-8F72-7DA26F91126C}"/>
    <cellStyle name="Total 4 4" xfId="3893" xr:uid="{0003443C-CABE-404B-8D62-01AC10135B4F}"/>
    <cellStyle name="Total 5" xfId="2641" xr:uid="{00000000-0005-0000-0000-0000530A0000}"/>
    <cellStyle name="Total 5 2" xfId="2642" xr:uid="{00000000-0005-0000-0000-0000540A0000}"/>
    <cellStyle name="Total 5 3" xfId="3736" xr:uid="{E925D102-EA0B-4B4E-A617-4B1090109F0F}"/>
    <cellStyle name="Total 5 4" xfId="3894" xr:uid="{05C4FE2C-8570-4A4D-B084-A5F2B6C86664}"/>
    <cellStyle name="Total 6" xfId="2643" xr:uid="{00000000-0005-0000-0000-0000550A0000}"/>
    <cellStyle name="Total 6 2" xfId="2644" xr:uid="{00000000-0005-0000-0000-0000560A0000}"/>
    <cellStyle name="Total 6 3" xfId="3737" xr:uid="{796C814F-B916-4EB5-8115-19365CAB7E9C}"/>
    <cellStyle name="Total 6 4" xfId="3895" xr:uid="{2B213A10-8D50-4457-AA2C-CE5D122BEB4D}"/>
    <cellStyle name="Total 7" xfId="2645" xr:uid="{00000000-0005-0000-0000-0000570A0000}"/>
    <cellStyle name="Total 7 2" xfId="2646" xr:uid="{00000000-0005-0000-0000-0000580A0000}"/>
    <cellStyle name="Total 7 3" xfId="3738" xr:uid="{B62579A2-E5C3-4BB9-A18E-94E3ABBB0EA8}"/>
    <cellStyle name="Total 7 4" xfId="3896" xr:uid="{628A1F94-96DC-4085-B6E7-22E7E8E7A51F}"/>
    <cellStyle name="Total 8" xfId="2647" xr:uid="{00000000-0005-0000-0000-0000590A0000}"/>
    <cellStyle name="Total 8 2" xfId="2648" xr:uid="{00000000-0005-0000-0000-00005A0A0000}"/>
    <cellStyle name="Total 8 3" xfId="3739" xr:uid="{ED68500C-8A82-4E70-AE8E-686FB3784AFE}"/>
    <cellStyle name="Total 8 4" xfId="3897" xr:uid="{99FFA9EE-BE8C-4CF1-BF11-6A6E5D172AD7}"/>
    <cellStyle name="Total 9" xfId="2649" xr:uid="{00000000-0005-0000-0000-00005B0A0000}"/>
    <cellStyle name="Total 9 2" xfId="2650" xr:uid="{00000000-0005-0000-0000-00005C0A0000}"/>
    <cellStyle name="Total 9 3" xfId="3740" xr:uid="{01213A58-782F-4F90-8277-00B067E72030}"/>
    <cellStyle name="Total 9 4" xfId="3898" xr:uid="{7D06D3A8-4D09-48E9-AB05-EDD12017DCA7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5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5" Type="http://schemas.microsoft.com/office/2007/relationships/hdphoto" Target="../media/hdphoto2.wdp"/><Relationship Id="rId4" Type="http://schemas.openxmlformats.org/officeDocument/2006/relationships/image" Target="../media/image16.png"/><Relationship Id="rId9" Type="http://schemas.microsoft.com/office/2007/relationships/hdphoto" Target="../media/hdphoto4.wdp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2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2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33618</xdr:colOff>
      <xdr:row>37</xdr:row>
      <xdr:rowOff>22411</xdr:rowOff>
    </xdr:from>
    <xdr:to>
      <xdr:col>19</xdr:col>
      <xdr:colOff>328856</xdr:colOff>
      <xdr:row>39</xdr:row>
      <xdr:rowOff>159284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9C3E16-8CF8-4419-A014-9BC10E9E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62530" y="8830235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993322</xdr:colOff>
      <xdr:row>142</xdr:row>
      <xdr:rowOff>122464</xdr:rowOff>
    </xdr:from>
    <xdr:to>
      <xdr:col>10</xdr:col>
      <xdr:colOff>172774</xdr:colOff>
      <xdr:row>145</xdr:row>
      <xdr:rowOff>180895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BFC05C-A947-4B4D-BB96-50B960C07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9322" y="27295928"/>
          <a:ext cx="295238" cy="629931"/>
        </a:xfrm>
        <a:prstGeom prst="rect">
          <a:avLst/>
        </a:prstGeom>
      </xdr:spPr>
    </xdr:pic>
    <xdr:clientData/>
  </xdr:twoCellAnchor>
  <xdr:twoCellAnchor editAs="oneCell">
    <xdr:from>
      <xdr:col>10</xdr:col>
      <xdr:colOff>244928</xdr:colOff>
      <xdr:row>250</xdr:row>
      <xdr:rowOff>0</xdr:rowOff>
    </xdr:from>
    <xdr:to>
      <xdr:col>10</xdr:col>
      <xdr:colOff>540166</xdr:colOff>
      <xdr:row>253</xdr:row>
      <xdr:rowOff>58431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8EC20C-9B1E-4286-9DFD-A1917566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66714" y="47978786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241788</xdr:colOff>
      <xdr:row>43</xdr:row>
      <xdr:rowOff>146538</xdr:rowOff>
    </xdr:from>
    <xdr:to>
      <xdr:col>16</xdr:col>
      <xdr:colOff>109904</xdr:colOff>
      <xdr:row>43</xdr:row>
      <xdr:rowOff>153865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E34E3C4E-CC07-40E9-9D40-3951DDCFCC2C}"/>
            </a:ext>
          </a:extLst>
        </xdr:cNvPr>
        <xdr:cNvCxnSpPr/>
      </xdr:nvCxnSpPr>
      <xdr:spPr>
        <a:xfrm flipH="1">
          <a:off x="432288" y="6792057"/>
          <a:ext cx="5319347" cy="7327"/>
        </a:xfrm>
        <a:prstGeom prst="line">
          <a:avLst/>
        </a:prstGeom>
        <a:ln w="12700">
          <a:solidFill>
            <a:schemeClr val="accent1">
              <a:lumMod val="75000"/>
            </a:schemeClr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147456</xdr:colOff>
      <xdr:row>44</xdr:row>
      <xdr:rowOff>19233</xdr:rowOff>
    </xdr:from>
    <xdr:to>
      <xdr:col>6</xdr:col>
      <xdr:colOff>110821</xdr:colOff>
      <xdr:row>45</xdr:row>
      <xdr:rowOff>13473</xdr:rowOff>
    </xdr:to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0D751D6-161B-4588-86A4-842D8ADBBE02}"/>
            </a:ext>
          </a:extLst>
        </xdr:cNvPr>
        <xdr:cNvSpPr txBox="1"/>
      </xdr:nvSpPr>
      <xdr:spPr>
        <a:xfrm>
          <a:off x="832065" y="6847467"/>
          <a:ext cx="1106365" cy="149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JARINGAN SUTTT</a:t>
          </a:r>
          <a:endParaRPr lang="en-US" sz="2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143860</xdr:colOff>
      <xdr:row>14</xdr:row>
      <xdr:rowOff>54897</xdr:rowOff>
    </xdr:from>
    <xdr:to>
      <xdr:col>8</xdr:col>
      <xdr:colOff>67660</xdr:colOff>
      <xdr:row>38</xdr:row>
      <xdr:rowOff>99379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4D20DBA5-A26A-4A45-988D-EE5DCF99009D}"/>
            </a:ext>
          </a:extLst>
        </xdr:cNvPr>
        <xdr:cNvGrpSpPr/>
      </xdr:nvGrpSpPr>
      <xdr:grpSpPr>
        <a:xfrm>
          <a:off x="828469" y="2239694"/>
          <a:ext cx="1828800" cy="3759232"/>
          <a:chOff x="1085850" y="2209800"/>
          <a:chExt cx="1828800" cy="3733800"/>
        </a:xfrm>
      </xdr:grpSpPr>
      <xdr:cxnSp macro="">
        <xdr:nvCxnSpPr>
          <xdr:cNvPr id="405" name="Straight Connector 404">
            <a:extLst>
              <a:ext uri="{FF2B5EF4-FFF2-40B4-BE49-F238E27FC236}">
                <a16:creationId xmlns:a16="http://schemas.microsoft.com/office/drawing/2014/main" id="{E583C082-61AD-4334-92E8-CBE41955A47A}"/>
              </a:ext>
            </a:extLst>
          </xdr:cNvPr>
          <xdr:cNvCxnSpPr/>
        </xdr:nvCxnSpPr>
        <xdr:spPr>
          <a:xfrm flipV="1">
            <a:off x="1390650" y="2209800"/>
            <a:ext cx="1476375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CA06A3F3-2D64-4943-8E4A-1BDA7D3D8489}"/>
              </a:ext>
            </a:extLst>
          </xdr:cNvPr>
          <xdr:cNvCxnSpPr/>
        </xdr:nvCxnSpPr>
        <xdr:spPr>
          <a:xfrm flipH="1" flipV="1">
            <a:off x="2867025" y="2209801"/>
            <a:ext cx="38100" cy="37052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37640436-D5D1-4E1A-82DD-0B971A267A30}"/>
              </a:ext>
            </a:extLst>
          </xdr:cNvPr>
          <xdr:cNvCxnSpPr/>
        </xdr:nvCxnSpPr>
        <xdr:spPr>
          <a:xfrm flipV="1">
            <a:off x="1085850" y="5915026"/>
            <a:ext cx="1828800" cy="2857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71212</xdr:colOff>
      <xdr:row>15</xdr:row>
      <xdr:rowOff>142787</xdr:rowOff>
    </xdr:from>
    <xdr:to>
      <xdr:col>11</xdr:col>
      <xdr:colOff>211821</xdr:colOff>
      <xdr:row>19</xdr:row>
      <xdr:rowOff>7358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56C2370-723F-418F-B45D-F3C5E9E4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917" b="90000" l="6923" r="90000">
                      <a14:foregroundMark x1="60769" y1="7500" x2="60769" y2="7500"/>
                      <a14:foregroundMark x1="60769" y1="2917" x2="60769" y2="2917"/>
                      <a14:foregroundMark x1="67692" y1="75833" x2="67692" y2="75833"/>
                      <a14:foregroundMark x1="6923" y1="76667" x2="6923" y2="76667"/>
                      <a14:foregroundMark x1="18846" y1="88750" x2="18846" y2="8875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427953" y="2448494"/>
          <a:ext cx="521609" cy="468916"/>
        </a:xfrm>
        <a:prstGeom prst="rect">
          <a:avLst/>
        </a:prstGeom>
      </xdr:spPr>
    </xdr:pic>
    <xdr:clientData/>
  </xdr:twoCellAnchor>
  <xdr:twoCellAnchor editAs="oneCell">
    <xdr:from>
      <xdr:col>19</xdr:col>
      <xdr:colOff>39771</xdr:colOff>
      <xdr:row>1</xdr:row>
      <xdr:rowOff>72259</xdr:rowOff>
    </xdr:from>
    <xdr:to>
      <xdr:col>21</xdr:col>
      <xdr:colOff>136070</xdr:colOff>
      <xdr:row>6</xdr:row>
      <xdr:rowOff>86572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1A3635F8-A57A-4C54-BD38-6EB9C58090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25512" y="236483"/>
          <a:ext cx="858299" cy="782882"/>
        </a:xfrm>
        <a:prstGeom prst="rect">
          <a:avLst/>
        </a:prstGeom>
      </xdr:spPr>
    </xdr:pic>
    <xdr:clientData/>
  </xdr:twoCellAnchor>
  <xdr:twoCellAnchor>
    <xdr:from>
      <xdr:col>26</xdr:col>
      <xdr:colOff>96744</xdr:colOff>
      <xdr:row>5</xdr:row>
      <xdr:rowOff>31468</xdr:rowOff>
    </xdr:from>
    <xdr:to>
      <xdr:col>29</xdr:col>
      <xdr:colOff>376688</xdr:colOff>
      <xdr:row>16</xdr:row>
      <xdr:rowOff>146363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A8123D9A-A9F7-4DB3-9A43-AE8608C98BCE}"/>
            </a:ext>
          </a:extLst>
        </xdr:cNvPr>
        <xdr:cNvGrpSpPr/>
      </xdr:nvGrpSpPr>
      <xdr:grpSpPr>
        <a:xfrm>
          <a:off x="9580072" y="817281"/>
          <a:ext cx="1482475" cy="1823441"/>
          <a:chOff x="9713886" y="808452"/>
          <a:chExt cx="1342558" cy="1766630"/>
        </a:xfrm>
      </xdr:grpSpPr>
      <xdr:grpSp>
        <xdr:nvGrpSpPr>
          <xdr:cNvPr id="193" name="Group 13">
            <a:extLst>
              <a:ext uri="{FF2B5EF4-FFF2-40B4-BE49-F238E27FC236}">
                <a16:creationId xmlns:a16="http://schemas.microsoft.com/office/drawing/2014/main" id="{EBB17ACB-7D48-466A-8121-13D0A7A3DE37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2" name="Oval 1">
              <a:extLst>
                <a:ext uri="{FF2B5EF4-FFF2-40B4-BE49-F238E27FC236}">
                  <a16:creationId xmlns:a16="http://schemas.microsoft.com/office/drawing/2014/main" id="{B8D96867-3007-4CC6-A0A1-B38DE88DBB2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3" name="Straight Connector 3">
              <a:extLst>
                <a:ext uri="{FF2B5EF4-FFF2-40B4-BE49-F238E27FC236}">
                  <a16:creationId xmlns:a16="http://schemas.microsoft.com/office/drawing/2014/main" id="{8D2512A4-C87F-4FA1-B450-F778E8C99E2D}"/>
                </a:ext>
              </a:extLst>
            </xdr:cNvPr>
            <xdr:cNvCxnSpPr>
              <a:stCxn id="215" idx="1"/>
              <a:endCxn id="21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4" name="Straight Connector 7">
              <a:extLst>
                <a:ext uri="{FF2B5EF4-FFF2-40B4-BE49-F238E27FC236}">
                  <a16:creationId xmlns:a16="http://schemas.microsoft.com/office/drawing/2014/main" id="{6404E246-4B08-4DD0-B462-E53AE595A81F}"/>
                </a:ext>
              </a:extLst>
            </xdr:cNvPr>
            <xdr:cNvCxnSpPr>
              <a:stCxn id="215" idx="3"/>
              <a:endCxn id="21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0" name="Oval 199">
            <a:extLst>
              <a:ext uri="{FF2B5EF4-FFF2-40B4-BE49-F238E27FC236}">
                <a16:creationId xmlns:a16="http://schemas.microsoft.com/office/drawing/2014/main" id="{ABBC5378-9AE9-408F-8FB8-DB40FF9A75C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01" name="Group 200">
            <a:extLst>
              <a:ext uri="{FF2B5EF4-FFF2-40B4-BE49-F238E27FC236}">
                <a16:creationId xmlns:a16="http://schemas.microsoft.com/office/drawing/2014/main" id="{BCBE8B38-1549-4426-8CD1-2B319D7D8A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89" name="Oval 288">
              <a:extLst>
                <a:ext uri="{FF2B5EF4-FFF2-40B4-BE49-F238E27FC236}">
                  <a16:creationId xmlns:a16="http://schemas.microsoft.com/office/drawing/2014/main" id="{370C786A-38E4-41A6-B72C-D9A59E8350C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BD962095-5DDB-4DE0-8F89-B22929F9D236}"/>
                </a:ext>
              </a:extLst>
            </xdr:cNvPr>
            <xdr:cNvCxnSpPr>
              <a:stCxn id="289" idx="1"/>
              <a:endCxn id="28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B38F9DFD-09CE-411E-95DA-21D8ECB68711}"/>
                </a:ext>
              </a:extLst>
            </xdr:cNvPr>
            <xdr:cNvCxnSpPr>
              <a:stCxn id="289" idx="3"/>
              <a:endCxn id="28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AD6A80E6-164B-4157-84C8-2E72C1913B6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84EDCE0A-4276-4999-A192-04E40001684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3235A149-0F13-4F82-A97C-D8F5C84C801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97A7AFF5-FE04-47E2-930E-BB9F3473FC2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70F375D7-4956-4CE8-820E-E86CEE8442E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079DE178-7442-4AC1-85A6-FEBFD8900A63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F178A5B9-4B35-4119-A626-02AB5D70EC8E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5E641FFA-7323-49B8-B76A-EB4BCEDCA0B8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2656DA56-CCCA-448F-89F8-932ABF2F865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F055C777-047C-45B5-8E00-DFF0BDE602E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C617641A-CB63-4492-8E1C-2AC18A199D5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9BAFD470-7BF0-4D2F-8AF7-A3BB5939B82D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B2DD4BD4-7F73-411B-AD14-EB68779FFB1F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50">
            <a:extLst>
              <a:ext uri="{FF2B5EF4-FFF2-40B4-BE49-F238E27FC236}">
                <a16:creationId xmlns:a16="http://schemas.microsoft.com/office/drawing/2014/main" id="{028A39E0-01EB-439A-8117-4C7135D5E56A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9432126-0202-49CC-B12C-DB32505E098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52">
            <a:extLst>
              <a:ext uri="{FF2B5EF4-FFF2-40B4-BE49-F238E27FC236}">
                <a16:creationId xmlns:a16="http://schemas.microsoft.com/office/drawing/2014/main" id="{9867D42C-3FCC-4D7A-82A5-2B7F9ECCB411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A569A65B-603A-48D7-B6FF-C87E0313686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7238B643-76AE-4F7F-9279-91ADA11C57D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2F1F1EE6-6E16-4236-B566-F0D126E8BC2D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CA3F191C-F72F-40A7-B358-7D465C609D55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92507D26-6ACA-4028-BFCC-08C99FE95EA3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840CB086-DF82-43F0-83FC-F64012E55D9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821DF540-F903-40E9-8037-6F07FDD8B6A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5" name="Isosceles Triangle 224">
            <a:extLst>
              <a:ext uri="{FF2B5EF4-FFF2-40B4-BE49-F238E27FC236}">
                <a16:creationId xmlns:a16="http://schemas.microsoft.com/office/drawing/2014/main" id="{44C6F863-D439-4CD8-A67D-33DC671A3ABA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6" name="Isosceles Triangle 225">
            <a:extLst>
              <a:ext uri="{FF2B5EF4-FFF2-40B4-BE49-F238E27FC236}">
                <a16:creationId xmlns:a16="http://schemas.microsoft.com/office/drawing/2014/main" id="{D1D13944-90D6-4BF2-BAC4-117748A9D0A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1" name="Group 73">
            <a:extLst>
              <a:ext uri="{FF2B5EF4-FFF2-40B4-BE49-F238E27FC236}">
                <a16:creationId xmlns:a16="http://schemas.microsoft.com/office/drawing/2014/main" id="{8B928309-D5E2-458B-8F59-A4147501067B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D173A91F-A4AC-4592-B47F-EAB56350027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9EE802CB-82FB-4DBD-AADD-5EF65552042B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2" name="Group 74">
            <a:extLst>
              <a:ext uri="{FF2B5EF4-FFF2-40B4-BE49-F238E27FC236}">
                <a16:creationId xmlns:a16="http://schemas.microsoft.com/office/drawing/2014/main" id="{FAD07B07-A602-49EE-BA1C-00EE5739867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5" name="TextBox 284">
              <a:extLst>
                <a:ext uri="{FF2B5EF4-FFF2-40B4-BE49-F238E27FC236}">
                  <a16:creationId xmlns:a16="http://schemas.microsoft.com/office/drawing/2014/main" id="{ABC02A5A-2A81-4953-B88D-FEA70E45F14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6" name="Straight Connector 285">
              <a:extLst>
                <a:ext uri="{FF2B5EF4-FFF2-40B4-BE49-F238E27FC236}">
                  <a16:creationId xmlns:a16="http://schemas.microsoft.com/office/drawing/2014/main" id="{9DFC409E-59BC-498C-B487-1C00A5968FF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89">
            <a:extLst>
              <a:ext uri="{FF2B5EF4-FFF2-40B4-BE49-F238E27FC236}">
                <a16:creationId xmlns:a16="http://schemas.microsoft.com/office/drawing/2014/main" id="{7943CA8A-8006-4D34-9B80-43A70030A8C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49D5D6C6-7B84-4751-9028-5ACC57FB6A4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79">
              <a:extLst>
                <a:ext uri="{FF2B5EF4-FFF2-40B4-BE49-F238E27FC236}">
                  <a16:creationId xmlns:a16="http://schemas.microsoft.com/office/drawing/2014/main" id="{0752035E-FFFB-4CF7-81A8-E2F3188259A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80">
              <a:extLst>
                <a:ext uri="{FF2B5EF4-FFF2-40B4-BE49-F238E27FC236}">
                  <a16:creationId xmlns:a16="http://schemas.microsoft.com/office/drawing/2014/main" id="{FDDCEFC9-47DC-447F-97B0-1884EFE786F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88">
              <a:extLst>
                <a:ext uri="{FF2B5EF4-FFF2-40B4-BE49-F238E27FC236}">
                  <a16:creationId xmlns:a16="http://schemas.microsoft.com/office/drawing/2014/main" id="{CC3F8A9A-D625-487E-B0FF-5EBBA36DE3F2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90">
            <a:extLst>
              <a:ext uri="{FF2B5EF4-FFF2-40B4-BE49-F238E27FC236}">
                <a16:creationId xmlns:a16="http://schemas.microsoft.com/office/drawing/2014/main" id="{81E3A717-7AE5-425B-B9C0-5EBF877929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D213C3AD-81D3-4908-A331-7ACF2769390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Straight Connector 277">
              <a:extLst>
                <a:ext uri="{FF2B5EF4-FFF2-40B4-BE49-F238E27FC236}">
                  <a16:creationId xmlns:a16="http://schemas.microsoft.com/office/drawing/2014/main" id="{2BC34F33-D3EA-40CF-860E-1C331C423DE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20CD118A-3CD3-4961-B949-06859019E6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33E098A7-9111-4A9B-9864-7E720954482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28CFEAB5-989F-4D5A-B037-57533D717B3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F7F4C640-AFE7-4AA6-88EA-32DAC6B2484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Arrow Connector 266">
            <a:extLst>
              <a:ext uri="{FF2B5EF4-FFF2-40B4-BE49-F238E27FC236}">
                <a16:creationId xmlns:a16="http://schemas.microsoft.com/office/drawing/2014/main" id="{49530BA1-CBA4-42EC-8328-ADEAC1A4AF0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Arrow Connector 267">
            <a:extLst>
              <a:ext uri="{FF2B5EF4-FFF2-40B4-BE49-F238E27FC236}">
                <a16:creationId xmlns:a16="http://schemas.microsoft.com/office/drawing/2014/main" id="{C78B1AF6-EDD1-43EF-A7DC-DC2D3661B44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69" name="Group 155">
            <a:extLst>
              <a:ext uri="{FF2B5EF4-FFF2-40B4-BE49-F238E27FC236}">
                <a16:creationId xmlns:a16="http://schemas.microsoft.com/office/drawing/2014/main" id="{5F0D7804-FEF2-4F17-A3CC-6521012D184E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967423CD-A44C-4240-8F56-730B2E6C652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76F2C44B-7BC2-4A89-B4D8-B7B28469FF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6E276EB-DBB1-4A6A-A98E-83186D41F6DF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0" name="Group 134">
            <a:extLst>
              <a:ext uri="{FF2B5EF4-FFF2-40B4-BE49-F238E27FC236}">
                <a16:creationId xmlns:a16="http://schemas.microsoft.com/office/drawing/2014/main" id="{06237749-8234-4C53-AC12-9D3E864F2816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1" name="Isosceles Triangle 270">
              <a:extLst>
                <a:ext uri="{FF2B5EF4-FFF2-40B4-BE49-F238E27FC236}">
                  <a16:creationId xmlns:a16="http://schemas.microsoft.com/office/drawing/2014/main" id="{78E17312-8370-4AF1-BD91-6D4E5CE8198D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2" name="Isosceles Triangle 271">
              <a:extLst>
                <a:ext uri="{FF2B5EF4-FFF2-40B4-BE49-F238E27FC236}">
                  <a16:creationId xmlns:a16="http://schemas.microsoft.com/office/drawing/2014/main" id="{A8453551-7ED2-4E15-9ED5-881DD290B43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57CF0818-6A86-435A-BFC1-9AC9EFBE54A6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233975</xdr:colOff>
      <xdr:row>39</xdr:row>
      <xdr:rowOff>134065</xdr:rowOff>
    </xdr:from>
    <xdr:to>
      <xdr:col>14</xdr:col>
      <xdr:colOff>93447</xdr:colOff>
      <xdr:row>40</xdr:row>
      <xdr:rowOff>16860</xdr:rowOff>
    </xdr:to>
    <xdr:cxnSp macro="">
      <xdr:nvCxnSpPr>
        <xdr:cNvPr id="295" name="Straight Connector 294">
          <a:extLst>
            <a:ext uri="{FF2B5EF4-FFF2-40B4-BE49-F238E27FC236}">
              <a16:creationId xmlns:a16="http://schemas.microsoft.com/office/drawing/2014/main" id="{7274FF73-4EE6-43F6-A063-F5A60529FCB3}"/>
            </a:ext>
          </a:extLst>
        </xdr:cNvPr>
        <xdr:cNvCxnSpPr/>
      </xdr:nvCxnSpPr>
      <xdr:spPr>
        <a:xfrm flipH="1">
          <a:off x="2823584" y="6188393"/>
          <a:ext cx="2145472" cy="37576"/>
        </a:xfrm>
        <a:prstGeom prst="line">
          <a:avLst/>
        </a:prstGeom>
        <a:ln w="1778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83339</xdr:colOff>
      <xdr:row>12</xdr:row>
      <xdr:rowOff>66679</xdr:rowOff>
    </xdr:from>
    <xdr:to>
      <xdr:col>9</xdr:col>
      <xdr:colOff>108079</xdr:colOff>
      <xdr:row>38</xdr:row>
      <xdr:rowOff>119197</xdr:rowOff>
    </xdr:to>
    <xdr:cxnSp macro="">
      <xdr:nvCxnSpPr>
        <xdr:cNvPr id="296" name="Straight Connector 295">
          <a:extLst>
            <a:ext uri="{FF2B5EF4-FFF2-40B4-BE49-F238E27FC236}">
              <a16:creationId xmlns:a16="http://schemas.microsoft.com/office/drawing/2014/main" id="{0E240DB3-387B-4CB0-BD42-7D1069FDE36E}"/>
            </a:ext>
          </a:extLst>
        </xdr:cNvPr>
        <xdr:cNvCxnSpPr/>
      </xdr:nvCxnSpPr>
      <xdr:spPr>
        <a:xfrm>
          <a:off x="3059080" y="1905989"/>
          <a:ext cx="24740" cy="401360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124361</xdr:colOff>
      <xdr:row>37</xdr:row>
      <xdr:rowOff>33988</xdr:rowOff>
    </xdr:from>
    <xdr:to>
      <xdr:col>9</xdr:col>
      <xdr:colOff>108243</xdr:colOff>
      <xdr:row>40</xdr:row>
      <xdr:rowOff>23081</xdr:rowOff>
    </xdr:to>
    <xdr:sp macro="" textlink="">
      <xdr:nvSpPr>
        <xdr:cNvPr id="297" name="Arc 296">
          <a:extLst>
            <a:ext uri="{FF2B5EF4-FFF2-40B4-BE49-F238E27FC236}">
              <a16:creationId xmlns:a16="http://schemas.microsoft.com/office/drawing/2014/main" id="{17851AED-B7D4-4228-BBE6-F719129E15CB}"/>
            </a:ext>
          </a:extLst>
        </xdr:cNvPr>
        <xdr:cNvSpPr/>
      </xdr:nvSpPr>
      <xdr:spPr>
        <a:xfrm rot="5400000">
          <a:off x="2673798" y="5715464"/>
          <a:ext cx="455490" cy="364882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 u="sng"/>
        </a:p>
      </xdr:txBody>
    </xdr:sp>
    <xdr:clientData/>
  </xdr:twoCellAnchor>
  <xdr:twoCellAnchor>
    <xdr:from>
      <xdr:col>12</xdr:col>
      <xdr:colOff>3497</xdr:colOff>
      <xdr:row>42</xdr:row>
      <xdr:rowOff>76144</xdr:rowOff>
    </xdr:from>
    <xdr:to>
      <xdr:col>12</xdr:col>
      <xdr:colOff>275338</xdr:colOff>
      <xdr:row>43</xdr:row>
      <xdr:rowOff>74403</xdr:rowOff>
    </xdr:to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9F061544-C6CF-46B0-8620-B87C642BBC7F}"/>
            </a:ext>
          </a:extLst>
        </xdr:cNvPr>
        <xdr:cNvSpPr txBox="1"/>
      </xdr:nvSpPr>
      <xdr:spPr>
        <a:xfrm>
          <a:off x="4121228" y="6567798"/>
          <a:ext cx="271841" cy="15212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4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</a:t>
          </a:r>
        </a:p>
      </xdr:txBody>
    </xdr:sp>
    <xdr:clientData/>
  </xdr:twoCellAnchor>
  <xdr:twoCellAnchor>
    <xdr:from>
      <xdr:col>11</xdr:col>
      <xdr:colOff>165688</xdr:colOff>
      <xdr:row>38</xdr:row>
      <xdr:rowOff>62255</xdr:rowOff>
    </xdr:from>
    <xdr:to>
      <xdr:col>12</xdr:col>
      <xdr:colOff>259800</xdr:colOff>
      <xdr:row>38</xdr:row>
      <xdr:rowOff>65719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3415A15A-0434-45B4-AFD8-32105D277087}"/>
            </a:ext>
          </a:extLst>
        </xdr:cNvPr>
        <xdr:cNvCxnSpPr>
          <a:stCxn id="379" idx="6"/>
          <a:endCxn id="369" idx="2"/>
        </xdr:cNvCxnSpPr>
      </xdr:nvCxnSpPr>
      <xdr:spPr>
        <a:xfrm>
          <a:off x="3903429" y="5862652"/>
          <a:ext cx="475112" cy="3464"/>
        </a:xfrm>
        <a:prstGeom prst="line">
          <a:avLst/>
        </a:prstGeom>
        <a:ln w="317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76973</xdr:colOff>
      <xdr:row>42</xdr:row>
      <xdr:rowOff>69841</xdr:rowOff>
    </xdr:from>
    <xdr:to>
      <xdr:col>14</xdr:col>
      <xdr:colOff>348155</xdr:colOff>
      <xdr:row>44</xdr:row>
      <xdr:rowOff>144678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8E530509-02A0-4B98-86D6-76B59D8C7EE3}"/>
            </a:ext>
          </a:extLst>
        </xdr:cNvPr>
        <xdr:cNvSpPr txBox="1"/>
      </xdr:nvSpPr>
      <xdr:spPr>
        <a:xfrm>
          <a:off x="4575704" y="6561495"/>
          <a:ext cx="652182" cy="38256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POMPA</a:t>
          </a:r>
          <a:endParaRPr lang="en-US" sz="2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124810</xdr:colOff>
      <xdr:row>40</xdr:row>
      <xdr:rowOff>20625</xdr:rowOff>
    </xdr:from>
    <xdr:to>
      <xdr:col>8</xdr:col>
      <xdr:colOff>366643</xdr:colOff>
      <xdr:row>40</xdr:row>
      <xdr:rowOff>54506</xdr:rowOff>
    </xdr:to>
    <xdr:cxnSp macro="">
      <xdr:nvCxnSpPr>
        <xdr:cNvPr id="302" name="Straight Connector 301">
          <a:extLst>
            <a:ext uri="{FF2B5EF4-FFF2-40B4-BE49-F238E27FC236}">
              <a16:creationId xmlns:a16="http://schemas.microsoft.com/office/drawing/2014/main" id="{85D3079E-4215-4FC4-B4C0-3F4BECF64608}"/>
            </a:ext>
          </a:extLst>
        </xdr:cNvPr>
        <xdr:cNvCxnSpPr/>
      </xdr:nvCxnSpPr>
      <xdr:spPr>
        <a:xfrm flipH="1">
          <a:off x="814551" y="6123194"/>
          <a:ext cx="2146833" cy="3388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285678</xdr:colOff>
      <xdr:row>13</xdr:row>
      <xdr:rowOff>139796</xdr:rowOff>
    </xdr:from>
    <xdr:to>
      <xdr:col>11</xdr:col>
      <xdr:colOff>15196</xdr:colOff>
      <xdr:row>14</xdr:row>
      <xdr:rowOff>101170</xdr:rowOff>
    </xdr:to>
    <xdr:grpSp>
      <xdr:nvGrpSpPr>
        <xdr:cNvPr id="303" name="Group 302">
          <a:extLst>
            <a:ext uri="{FF2B5EF4-FFF2-40B4-BE49-F238E27FC236}">
              <a16:creationId xmlns:a16="http://schemas.microsoft.com/office/drawing/2014/main" id="{42FC8BBB-DBAA-4E54-8BF0-047AACC57695}"/>
            </a:ext>
          </a:extLst>
        </xdr:cNvPr>
        <xdr:cNvGrpSpPr/>
      </xdr:nvGrpSpPr>
      <xdr:grpSpPr>
        <a:xfrm>
          <a:off x="3637287" y="2169812"/>
          <a:ext cx="110518" cy="116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4" name="Oval 303">
            <a:extLst>
              <a:ext uri="{FF2B5EF4-FFF2-40B4-BE49-F238E27FC236}">
                <a16:creationId xmlns:a16="http://schemas.microsoft.com/office/drawing/2014/main" id="{1A145A06-FA83-464D-9767-86FA7C5B7E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8ED235AD-F49E-46AE-BB74-1B540470A039}"/>
              </a:ext>
            </a:extLst>
          </xdr:cNvPr>
          <xdr:cNvCxnSpPr>
            <a:stCxn id="304" idx="1"/>
            <a:endCxn id="3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D21FFB49-9E3A-4D31-B0E2-91F87992BCA3}"/>
              </a:ext>
            </a:extLst>
          </xdr:cNvPr>
          <xdr:cNvCxnSpPr>
            <a:stCxn id="304" idx="3"/>
            <a:endCxn id="3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57078</xdr:colOff>
      <xdr:row>13</xdr:row>
      <xdr:rowOff>136332</xdr:rowOff>
    </xdr:from>
    <xdr:to>
      <xdr:col>11</xdr:col>
      <xdr:colOff>161615</xdr:colOff>
      <xdr:row>14</xdr:row>
      <xdr:rowOff>97706</xdr:rowOff>
    </xdr:to>
    <xdr:grpSp>
      <xdr:nvGrpSpPr>
        <xdr:cNvPr id="307" name="Group 306">
          <a:extLst>
            <a:ext uri="{FF2B5EF4-FFF2-40B4-BE49-F238E27FC236}">
              <a16:creationId xmlns:a16="http://schemas.microsoft.com/office/drawing/2014/main" id="{E0910313-3408-46E2-BB8B-27C4E101227C}"/>
            </a:ext>
          </a:extLst>
        </xdr:cNvPr>
        <xdr:cNvGrpSpPr/>
      </xdr:nvGrpSpPr>
      <xdr:grpSpPr>
        <a:xfrm>
          <a:off x="3789687" y="2166348"/>
          <a:ext cx="104537" cy="116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8" name="Oval 307">
            <a:extLst>
              <a:ext uri="{FF2B5EF4-FFF2-40B4-BE49-F238E27FC236}">
                <a16:creationId xmlns:a16="http://schemas.microsoft.com/office/drawing/2014/main" id="{BD55AA24-3B0E-4414-81C2-E97B8D72884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8E24DDD9-9D85-4C3D-87D8-89A4F9B98D48}"/>
              </a:ext>
            </a:extLst>
          </xdr:cNvPr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362E9A98-ACC9-45B9-B9CF-0F4F8CC5CEB0}"/>
              </a:ext>
            </a:extLst>
          </xdr:cNvPr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130890</xdr:colOff>
      <xdr:row>13</xdr:row>
      <xdr:rowOff>143260</xdr:rowOff>
    </xdr:from>
    <xdr:to>
      <xdr:col>8</xdr:col>
      <xdr:colOff>245367</xdr:colOff>
      <xdr:row>14</xdr:row>
      <xdr:rowOff>104634</xdr:rowOff>
    </xdr:to>
    <xdr:grpSp>
      <xdr:nvGrpSpPr>
        <xdr:cNvPr id="311" name="Group 310">
          <a:extLst>
            <a:ext uri="{FF2B5EF4-FFF2-40B4-BE49-F238E27FC236}">
              <a16:creationId xmlns:a16="http://schemas.microsoft.com/office/drawing/2014/main" id="{44A18EEA-6720-464F-BCD6-7FCAF702D9C9}"/>
            </a:ext>
          </a:extLst>
        </xdr:cNvPr>
        <xdr:cNvGrpSpPr/>
      </xdr:nvGrpSpPr>
      <xdr:grpSpPr>
        <a:xfrm>
          <a:off x="2720499" y="2173276"/>
          <a:ext cx="114477" cy="116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2" name="Oval 311">
            <a:extLst>
              <a:ext uri="{FF2B5EF4-FFF2-40B4-BE49-F238E27FC236}">
                <a16:creationId xmlns:a16="http://schemas.microsoft.com/office/drawing/2014/main" id="{F2AE1EE7-513B-436A-B533-B0BCD7D175E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81BDDECF-EE35-456F-894D-3CB82DB75A01}"/>
              </a:ext>
            </a:extLst>
          </xdr:cNvPr>
          <xdr:cNvCxnSpPr>
            <a:stCxn id="312" idx="1"/>
            <a:endCxn id="3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17D4D97F-AD7F-4F1A-AF4F-ECC1424D06E6}"/>
              </a:ext>
            </a:extLst>
          </xdr:cNvPr>
          <xdr:cNvCxnSpPr>
            <a:stCxn id="312" idx="3"/>
            <a:endCxn id="3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245367</xdr:colOff>
      <xdr:row>14</xdr:row>
      <xdr:rowOff>43579</xdr:rowOff>
    </xdr:from>
    <xdr:to>
      <xdr:col>10</xdr:col>
      <xdr:colOff>285678</xdr:colOff>
      <xdr:row>14</xdr:row>
      <xdr:rowOff>47043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4E0F5DD3-788C-4047-BDCF-1B7C19E540CA}"/>
            </a:ext>
          </a:extLst>
        </xdr:cNvPr>
        <xdr:cNvCxnSpPr>
          <a:stCxn id="304" idx="2"/>
          <a:endCxn id="312" idx="6"/>
        </xdr:cNvCxnSpPr>
      </xdr:nvCxnSpPr>
      <xdr:spPr>
        <a:xfrm flipH="1">
          <a:off x="2840108" y="2198200"/>
          <a:ext cx="802311" cy="346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337493</xdr:colOff>
      <xdr:row>14</xdr:row>
      <xdr:rowOff>104812</xdr:rowOff>
    </xdr:from>
    <xdr:to>
      <xdr:col>13</xdr:col>
      <xdr:colOff>309357</xdr:colOff>
      <xdr:row>20</xdr:row>
      <xdr:rowOff>150794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23BA6C8D-EB3E-4306-BBDA-A5838238508A}"/>
            </a:ext>
          </a:extLst>
        </xdr:cNvPr>
        <xdr:cNvSpPr txBox="1"/>
      </xdr:nvSpPr>
      <xdr:spPr>
        <a:xfrm>
          <a:off x="3313234" y="2259433"/>
          <a:ext cx="1495864" cy="952499"/>
        </a:xfrm>
        <a:prstGeom prst="rect">
          <a:avLst/>
        </a:prstGeom>
        <a:noFill/>
        <a:ln w="9525" cmpd="sng">
          <a:solidFill>
            <a:schemeClr val="tx2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SBRI</a:t>
          </a:r>
        </a:p>
      </xdr:txBody>
    </xdr:sp>
    <xdr:clientData/>
  </xdr:twoCellAnchor>
  <xdr:twoCellAnchor>
    <xdr:from>
      <xdr:col>9</xdr:col>
      <xdr:colOff>236239</xdr:colOff>
      <xdr:row>14</xdr:row>
      <xdr:rowOff>40087</xdr:rowOff>
    </xdr:from>
    <xdr:to>
      <xdr:col>9</xdr:col>
      <xdr:colOff>238044</xdr:colOff>
      <xdr:row>34</xdr:row>
      <xdr:rowOff>932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3FDC1BD8-3F7D-4665-AA67-B95E4D041BC4}"/>
            </a:ext>
          </a:extLst>
        </xdr:cNvPr>
        <xdr:cNvCxnSpPr>
          <a:stCxn id="363" idx="2"/>
        </xdr:cNvCxnSpPr>
      </xdr:nvCxnSpPr>
      <xdr:spPr>
        <a:xfrm>
          <a:off x="3210970" y="2216183"/>
          <a:ext cx="1805" cy="303082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234074</xdr:colOff>
      <xdr:row>34</xdr:row>
      <xdr:rowOff>932</xdr:rowOff>
    </xdr:from>
    <xdr:to>
      <xdr:col>9</xdr:col>
      <xdr:colOff>344592</xdr:colOff>
      <xdr:row>34</xdr:row>
      <xdr:rowOff>116115</xdr:rowOff>
    </xdr:to>
    <xdr:grpSp>
      <xdr:nvGrpSpPr>
        <xdr:cNvPr id="322" name="Group 321">
          <a:extLst>
            <a:ext uri="{FF2B5EF4-FFF2-40B4-BE49-F238E27FC236}">
              <a16:creationId xmlns:a16="http://schemas.microsoft.com/office/drawing/2014/main" id="{5292F583-4625-4CAE-843A-0CB104CE930D}"/>
            </a:ext>
          </a:extLst>
        </xdr:cNvPr>
        <xdr:cNvGrpSpPr/>
      </xdr:nvGrpSpPr>
      <xdr:grpSpPr>
        <a:xfrm>
          <a:off x="3204683" y="5269448"/>
          <a:ext cx="110518" cy="1151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3" name="Oval 322">
            <a:extLst>
              <a:ext uri="{FF2B5EF4-FFF2-40B4-BE49-F238E27FC236}">
                <a16:creationId xmlns:a16="http://schemas.microsoft.com/office/drawing/2014/main" id="{E21AC92A-174A-447A-8FE1-747A93E6A5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A3F23452-E4A5-4961-8193-A41DA76E8577}"/>
              </a:ext>
            </a:extLst>
          </xdr:cNvPr>
          <xdr:cNvCxnSpPr>
            <a:stCxn id="323" idx="1"/>
            <a:endCxn id="3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0AAE3255-7DC7-4987-A492-FB42ADCF6AF9}"/>
              </a:ext>
            </a:extLst>
          </xdr:cNvPr>
          <xdr:cNvCxnSpPr>
            <a:stCxn id="323" idx="3"/>
            <a:endCxn id="3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232775</xdr:colOff>
      <xdr:row>29</xdr:row>
      <xdr:rowOff>102449</xdr:rowOff>
    </xdr:from>
    <xdr:to>
      <xdr:col>9</xdr:col>
      <xdr:colOff>343293</xdr:colOff>
      <xdr:row>30</xdr:row>
      <xdr:rowOff>83646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02B14D99-2412-4057-A81D-729F33389860}"/>
            </a:ext>
          </a:extLst>
        </xdr:cNvPr>
        <xdr:cNvGrpSpPr/>
      </xdr:nvGrpSpPr>
      <xdr:grpSpPr>
        <a:xfrm>
          <a:off x="3203384" y="4608965"/>
          <a:ext cx="110518" cy="12407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7" name="Oval 326">
            <a:extLst>
              <a:ext uri="{FF2B5EF4-FFF2-40B4-BE49-F238E27FC236}">
                <a16:creationId xmlns:a16="http://schemas.microsoft.com/office/drawing/2014/main" id="{91D2C64E-254A-4D72-95A4-8881ECC8506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7" name="Straight Connector 336">
            <a:extLst>
              <a:ext uri="{FF2B5EF4-FFF2-40B4-BE49-F238E27FC236}">
                <a16:creationId xmlns:a16="http://schemas.microsoft.com/office/drawing/2014/main" id="{3188D0FB-E7DB-4469-AFCF-FC7C2ECBABC1}"/>
              </a:ext>
            </a:extLst>
          </xdr:cNvPr>
          <xdr:cNvCxnSpPr>
            <a:stCxn id="327" idx="1"/>
            <a:endCxn id="32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860EB7A0-D915-4BF4-9C24-5E33AB0D5581}"/>
              </a:ext>
            </a:extLst>
          </xdr:cNvPr>
          <xdr:cNvCxnSpPr>
            <a:stCxn id="327" idx="3"/>
            <a:endCxn id="32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236239</xdr:colOff>
      <xdr:row>26</xdr:row>
      <xdr:rowOff>2516</xdr:rowOff>
    </xdr:from>
    <xdr:to>
      <xdr:col>9</xdr:col>
      <xdr:colOff>346757</xdr:colOff>
      <xdr:row>26</xdr:row>
      <xdr:rowOff>114977</xdr:rowOff>
    </xdr:to>
    <xdr:grpSp>
      <xdr:nvGrpSpPr>
        <xdr:cNvPr id="345" name="Group 344">
          <a:extLst>
            <a:ext uri="{FF2B5EF4-FFF2-40B4-BE49-F238E27FC236}">
              <a16:creationId xmlns:a16="http://schemas.microsoft.com/office/drawing/2014/main" id="{637D7E5D-E199-47AD-BF8A-43F568BE60CE}"/>
            </a:ext>
          </a:extLst>
        </xdr:cNvPr>
        <xdr:cNvGrpSpPr/>
      </xdr:nvGrpSpPr>
      <xdr:grpSpPr>
        <a:xfrm>
          <a:off x="3206848" y="4044688"/>
          <a:ext cx="110518" cy="11246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6" name="Oval 345">
            <a:extLst>
              <a:ext uri="{FF2B5EF4-FFF2-40B4-BE49-F238E27FC236}">
                <a16:creationId xmlns:a16="http://schemas.microsoft.com/office/drawing/2014/main" id="{0E45BC26-B6AB-4AAE-BE25-E53208860F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C3277D5E-65D9-4589-9D0E-C49C899D1DCD}"/>
              </a:ext>
            </a:extLst>
          </xdr:cNvPr>
          <xdr:cNvCxnSpPr>
            <a:stCxn id="346" idx="1"/>
            <a:endCxn id="3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F940F458-71C2-456B-873D-3EB6C98CF2B5}"/>
              </a:ext>
            </a:extLst>
          </xdr:cNvPr>
          <xdr:cNvCxnSpPr>
            <a:stCxn id="346" idx="3"/>
            <a:endCxn id="3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236239</xdr:colOff>
      <xdr:row>21</xdr:row>
      <xdr:rowOff>134933</xdr:rowOff>
    </xdr:from>
    <xdr:to>
      <xdr:col>9</xdr:col>
      <xdr:colOff>346757</xdr:colOff>
      <xdr:row>22</xdr:row>
      <xdr:rowOff>96309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76FC4FE1-F93B-43A1-BAB5-B57BC0EF2A1A}"/>
            </a:ext>
          </a:extLst>
        </xdr:cNvPr>
        <xdr:cNvGrpSpPr/>
      </xdr:nvGrpSpPr>
      <xdr:grpSpPr>
        <a:xfrm>
          <a:off x="3206848" y="3403199"/>
          <a:ext cx="110518" cy="1161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AC8AF3DC-A4B2-4F44-AE1D-CED926509A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40CA890-5C5B-4A42-B26C-59E0EEC70023}"/>
              </a:ext>
            </a:extLst>
          </xdr:cNvPr>
          <xdr:cNvCxnSpPr>
            <a:stCxn id="352" idx="1"/>
            <a:endCxn id="3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354">
            <a:extLst>
              <a:ext uri="{FF2B5EF4-FFF2-40B4-BE49-F238E27FC236}">
                <a16:creationId xmlns:a16="http://schemas.microsoft.com/office/drawing/2014/main" id="{62955FD2-3A6E-4A20-9414-BB33CC23092F}"/>
              </a:ext>
            </a:extLst>
          </xdr:cNvPr>
          <xdr:cNvCxnSpPr>
            <a:stCxn id="352" idx="3"/>
            <a:endCxn id="3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229311</xdr:colOff>
      <xdr:row>17</xdr:row>
      <xdr:rowOff>114287</xdr:rowOff>
    </xdr:from>
    <xdr:to>
      <xdr:col>9</xdr:col>
      <xdr:colOff>339829</xdr:colOff>
      <xdr:row>18</xdr:row>
      <xdr:rowOff>75662</xdr:rowOff>
    </xdr:to>
    <xdr:grpSp>
      <xdr:nvGrpSpPr>
        <xdr:cNvPr id="356" name="Group 355">
          <a:extLst>
            <a:ext uri="{FF2B5EF4-FFF2-40B4-BE49-F238E27FC236}">
              <a16:creationId xmlns:a16="http://schemas.microsoft.com/office/drawing/2014/main" id="{6391F931-2910-4E6A-8E98-2202433DDD23}"/>
            </a:ext>
          </a:extLst>
        </xdr:cNvPr>
        <xdr:cNvGrpSpPr/>
      </xdr:nvGrpSpPr>
      <xdr:grpSpPr>
        <a:xfrm>
          <a:off x="3199920" y="2763428"/>
          <a:ext cx="110518" cy="1161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9" name="Oval 358">
            <a:extLst>
              <a:ext uri="{FF2B5EF4-FFF2-40B4-BE49-F238E27FC236}">
                <a16:creationId xmlns:a16="http://schemas.microsoft.com/office/drawing/2014/main" id="{6AF964C0-86F4-4F6C-8CAF-E232ACFD27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D22BB4ED-8802-4B8C-B0EB-597C8A54E574}"/>
              </a:ext>
            </a:extLst>
          </xdr:cNvPr>
          <xdr:cNvCxnSpPr>
            <a:stCxn id="359" idx="1"/>
            <a:endCxn id="35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7EBB3FC2-E5F5-4CD9-9ACC-560CA338A40D}"/>
              </a:ext>
            </a:extLst>
          </xdr:cNvPr>
          <xdr:cNvCxnSpPr>
            <a:stCxn id="359" idx="3"/>
            <a:endCxn id="35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236239</xdr:colOff>
      <xdr:row>13</xdr:row>
      <xdr:rowOff>136332</xdr:rowOff>
    </xdr:from>
    <xdr:to>
      <xdr:col>9</xdr:col>
      <xdr:colOff>346757</xdr:colOff>
      <xdr:row>14</xdr:row>
      <xdr:rowOff>97706</xdr:rowOff>
    </xdr:to>
    <xdr:grpSp>
      <xdr:nvGrpSpPr>
        <xdr:cNvPr id="362" name="Group 361">
          <a:extLst>
            <a:ext uri="{FF2B5EF4-FFF2-40B4-BE49-F238E27FC236}">
              <a16:creationId xmlns:a16="http://schemas.microsoft.com/office/drawing/2014/main" id="{5B6DBE73-29E2-4DBC-A7FC-F557BF17ABFA}"/>
            </a:ext>
          </a:extLst>
        </xdr:cNvPr>
        <xdr:cNvGrpSpPr/>
      </xdr:nvGrpSpPr>
      <xdr:grpSpPr>
        <a:xfrm>
          <a:off x="3206848" y="2166348"/>
          <a:ext cx="110518" cy="1161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3" name="Oval 362">
            <a:extLst>
              <a:ext uri="{FF2B5EF4-FFF2-40B4-BE49-F238E27FC236}">
                <a16:creationId xmlns:a16="http://schemas.microsoft.com/office/drawing/2014/main" id="{C7286351-7A93-435E-906C-FBAAD18FEA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46FC8889-8F9F-4F92-BC34-8BEFC3E19C5F}"/>
              </a:ext>
            </a:extLst>
          </xdr:cNvPr>
          <xdr:cNvCxnSpPr>
            <a:stCxn id="363" idx="1"/>
            <a:endCxn id="3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8B285747-DBAA-410B-8BC1-797D78B60A80}"/>
              </a:ext>
            </a:extLst>
          </xdr:cNvPr>
          <xdr:cNvCxnSpPr>
            <a:stCxn id="363" idx="3"/>
            <a:endCxn id="3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73658</xdr:colOff>
      <xdr:row>38</xdr:row>
      <xdr:rowOff>16586</xdr:rowOff>
    </xdr:from>
    <xdr:to>
      <xdr:col>10</xdr:col>
      <xdr:colOff>117483</xdr:colOff>
      <xdr:row>39</xdr:row>
      <xdr:rowOff>66465</xdr:rowOff>
    </xdr:to>
    <xdr:cxnSp macro="">
      <xdr:nvCxnSpPr>
        <xdr:cNvPr id="366" name="Straight Arrow Connector 365">
          <a:extLst>
            <a:ext uri="{FF2B5EF4-FFF2-40B4-BE49-F238E27FC236}">
              <a16:creationId xmlns:a16="http://schemas.microsoft.com/office/drawing/2014/main" id="{AF3C3BB5-55F4-43A4-99FF-EBD74A876FE8}"/>
            </a:ext>
          </a:extLst>
        </xdr:cNvPr>
        <xdr:cNvCxnSpPr/>
      </xdr:nvCxnSpPr>
      <xdr:spPr>
        <a:xfrm>
          <a:off x="3430399" y="5816983"/>
          <a:ext cx="43825" cy="20096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249367</xdr:colOff>
      <xdr:row>37</xdr:row>
      <xdr:rowOff>98120</xdr:rowOff>
    </xdr:from>
    <xdr:to>
      <xdr:col>10</xdr:col>
      <xdr:colOff>44382</xdr:colOff>
      <xdr:row>37</xdr:row>
      <xdr:rowOff>143496</xdr:rowOff>
    </xdr:to>
    <xdr:cxnSp macro="">
      <xdr:nvCxnSpPr>
        <xdr:cNvPr id="367" name="Straight Arrow Connector 366">
          <a:extLst>
            <a:ext uri="{FF2B5EF4-FFF2-40B4-BE49-F238E27FC236}">
              <a16:creationId xmlns:a16="http://schemas.microsoft.com/office/drawing/2014/main" id="{927FA164-EB8C-44A9-9E2C-F73BB3E822D6}"/>
            </a:ext>
          </a:extLst>
        </xdr:cNvPr>
        <xdr:cNvCxnSpPr/>
      </xdr:nvCxnSpPr>
      <xdr:spPr>
        <a:xfrm flipH="1" flipV="1">
          <a:off x="3225108" y="5734292"/>
          <a:ext cx="176015" cy="45376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259800</xdr:colOff>
      <xdr:row>38</xdr:row>
      <xdr:rowOff>8127</xdr:rowOff>
    </xdr:from>
    <xdr:to>
      <xdr:col>12</xdr:col>
      <xdr:colOff>370988</xdr:colOff>
      <xdr:row>38</xdr:row>
      <xdr:rowOff>123310</xdr:rowOff>
    </xdr:to>
    <xdr:grpSp>
      <xdr:nvGrpSpPr>
        <xdr:cNvPr id="368" name="Group 367">
          <a:extLst>
            <a:ext uri="{FF2B5EF4-FFF2-40B4-BE49-F238E27FC236}">
              <a16:creationId xmlns:a16="http://schemas.microsoft.com/office/drawing/2014/main" id="{E8EC4395-676F-42DB-B903-2288BE74D470}"/>
            </a:ext>
          </a:extLst>
        </xdr:cNvPr>
        <xdr:cNvGrpSpPr/>
      </xdr:nvGrpSpPr>
      <xdr:grpSpPr>
        <a:xfrm>
          <a:off x="4373409" y="5907674"/>
          <a:ext cx="111188" cy="1151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9" name="Oval 368">
            <a:extLst>
              <a:ext uri="{FF2B5EF4-FFF2-40B4-BE49-F238E27FC236}">
                <a16:creationId xmlns:a16="http://schemas.microsoft.com/office/drawing/2014/main" id="{B8F477DB-B1DA-4274-AF6A-5F5B6F1A58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0BAD4B2-DCAA-4CD9-A127-0037FA75547D}"/>
              </a:ext>
            </a:extLst>
          </xdr:cNvPr>
          <xdr:cNvCxnSpPr>
            <a:stCxn id="369" idx="1"/>
            <a:endCxn id="3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7" name="Straight Connector 376">
            <a:extLst>
              <a:ext uri="{FF2B5EF4-FFF2-40B4-BE49-F238E27FC236}">
                <a16:creationId xmlns:a16="http://schemas.microsoft.com/office/drawing/2014/main" id="{268FF855-6DB8-4E59-8557-87EBC8692B03}"/>
              </a:ext>
            </a:extLst>
          </xdr:cNvPr>
          <xdr:cNvCxnSpPr>
            <a:stCxn id="369" idx="3"/>
            <a:endCxn id="3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60481</xdr:colOff>
      <xdr:row>38</xdr:row>
      <xdr:rowOff>4663</xdr:rowOff>
    </xdr:from>
    <xdr:to>
      <xdr:col>11</xdr:col>
      <xdr:colOff>165688</xdr:colOff>
      <xdr:row>38</xdr:row>
      <xdr:rowOff>119846</xdr:rowOff>
    </xdr:to>
    <xdr:grpSp>
      <xdr:nvGrpSpPr>
        <xdr:cNvPr id="378" name="Group 377">
          <a:extLst>
            <a:ext uri="{FF2B5EF4-FFF2-40B4-BE49-F238E27FC236}">
              <a16:creationId xmlns:a16="http://schemas.microsoft.com/office/drawing/2014/main" id="{F757AD34-F435-48FA-98ED-A4D58BF125CD}"/>
            </a:ext>
          </a:extLst>
        </xdr:cNvPr>
        <xdr:cNvGrpSpPr/>
      </xdr:nvGrpSpPr>
      <xdr:grpSpPr>
        <a:xfrm>
          <a:off x="3793090" y="5904210"/>
          <a:ext cx="105207" cy="1151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9" name="Oval 378">
            <a:extLst>
              <a:ext uri="{FF2B5EF4-FFF2-40B4-BE49-F238E27FC236}">
                <a16:creationId xmlns:a16="http://schemas.microsoft.com/office/drawing/2014/main" id="{C474A6DB-11B7-4D6D-A5C2-27CD2730136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0" name="Straight Connector 379">
            <a:extLst>
              <a:ext uri="{FF2B5EF4-FFF2-40B4-BE49-F238E27FC236}">
                <a16:creationId xmlns:a16="http://schemas.microsoft.com/office/drawing/2014/main" id="{AEECE470-488C-4A57-A805-A58697670A11}"/>
              </a:ext>
            </a:extLst>
          </xdr:cNvPr>
          <xdr:cNvCxnSpPr>
            <a:stCxn id="379" idx="1"/>
            <a:endCxn id="3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1" name="Straight Connector 380">
            <a:extLst>
              <a:ext uri="{FF2B5EF4-FFF2-40B4-BE49-F238E27FC236}">
                <a16:creationId xmlns:a16="http://schemas.microsoft.com/office/drawing/2014/main" id="{65CF7245-E3E8-4CB9-963D-AE8C7C37484C}"/>
              </a:ext>
            </a:extLst>
          </xdr:cNvPr>
          <xdr:cNvCxnSpPr>
            <a:stCxn id="379" idx="3"/>
            <a:endCxn id="3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375969</xdr:colOff>
      <xdr:row>38</xdr:row>
      <xdr:rowOff>66809</xdr:rowOff>
    </xdr:from>
    <xdr:to>
      <xdr:col>13</xdr:col>
      <xdr:colOff>203732</xdr:colOff>
      <xdr:row>38</xdr:row>
      <xdr:rowOff>66809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392DD039-3418-456D-8A6D-3AB3E321273C}"/>
            </a:ext>
          </a:extLst>
        </xdr:cNvPr>
        <xdr:cNvCxnSpPr/>
      </xdr:nvCxnSpPr>
      <xdr:spPr>
        <a:xfrm>
          <a:off x="4494710" y="5867206"/>
          <a:ext cx="208763" cy="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286076</xdr:colOff>
      <xdr:row>41</xdr:row>
      <xdr:rowOff>131699</xdr:rowOff>
    </xdr:from>
    <xdr:to>
      <xdr:col>13</xdr:col>
      <xdr:colOff>16264</xdr:colOff>
      <xdr:row>42</xdr:row>
      <xdr:rowOff>93075</xdr:rowOff>
    </xdr:to>
    <xdr:grpSp>
      <xdr:nvGrpSpPr>
        <xdr:cNvPr id="383" name="Group 382">
          <a:extLst>
            <a:ext uri="{FF2B5EF4-FFF2-40B4-BE49-F238E27FC236}">
              <a16:creationId xmlns:a16="http://schemas.microsoft.com/office/drawing/2014/main" id="{1D2B3EF7-5293-4C48-B801-08808566BB9E}"/>
            </a:ext>
          </a:extLst>
        </xdr:cNvPr>
        <xdr:cNvGrpSpPr/>
      </xdr:nvGrpSpPr>
      <xdr:grpSpPr>
        <a:xfrm>
          <a:off x="4399685" y="6495590"/>
          <a:ext cx="111188" cy="1161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84" name="Oval 383">
            <a:extLst>
              <a:ext uri="{FF2B5EF4-FFF2-40B4-BE49-F238E27FC236}">
                <a16:creationId xmlns:a16="http://schemas.microsoft.com/office/drawing/2014/main" id="{83E054FA-BE00-43B3-A23C-AAFE7197BC9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0B6E21E9-8007-4D5D-8F7D-1A45A842690B}"/>
              </a:ext>
            </a:extLst>
          </xdr:cNvPr>
          <xdr:cNvCxnSpPr>
            <a:stCxn id="384" idx="1"/>
            <a:endCxn id="3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C8EDE001-1EDB-4CF4-84CA-BA30E63D8F26}"/>
              </a:ext>
            </a:extLst>
          </xdr:cNvPr>
          <xdr:cNvCxnSpPr>
            <a:stCxn id="384" idx="3"/>
            <a:endCxn id="3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315394</xdr:colOff>
      <xdr:row>38</xdr:row>
      <xdr:rowOff>123310</xdr:rowOff>
    </xdr:from>
    <xdr:to>
      <xdr:col>12</xdr:col>
      <xdr:colOff>341670</xdr:colOff>
      <xdr:row>41</xdr:row>
      <xdr:rowOff>131699</xdr:rowOff>
    </xdr:to>
    <xdr:cxnSp macro="">
      <xdr:nvCxnSpPr>
        <xdr:cNvPr id="387" name="Straight Connector 386">
          <a:extLst>
            <a:ext uri="{FF2B5EF4-FFF2-40B4-BE49-F238E27FC236}">
              <a16:creationId xmlns:a16="http://schemas.microsoft.com/office/drawing/2014/main" id="{68456470-183F-4D0E-B21A-54D7A2A9EBFB}"/>
            </a:ext>
          </a:extLst>
        </xdr:cNvPr>
        <xdr:cNvCxnSpPr>
          <a:stCxn id="384" idx="0"/>
          <a:endCxn id="369" idx="4"/>
        </xdr:cNvCxnSpPr>
      </xdr:nvCxnSpPr>
      <xdr:spPr>
        <a:xfrm flipH="1" flipV="1">
          <a:off x="4434135" y="5923707"/>
          <a:ext cx="26276" cy="461647"/>
        </a:xfrm>
        <a:prstGeom prst="line">
          <a:avLst/>
        </a:prstGeom>
        <a:ln w="317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102943</xdr:colOff>
      <xdr:row>38</xdr:row>
      <xdr:rowOff>147497</xdr:rowOff>
    </xdr:from>
    <xdr:to>
      <xdr:col>14</xdr:col>
      <xdr:colOff>217585</xdr:colOff>
      <xdr:row>42</xdr:row>
      <xdr:rowOff>19695</xdr:rowOff>
    </xdr:to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6BFE949-5AE3-4DB0-9ACC-674AD268C5D5}"/>
            </a:ext>
          </a:extLst>
        </xdr:cNvPr>
        <xdr:cNvSpPr txBox="1"/>
      </xdr:nvSpPr>
      <xdr:spPr>
        <a:xfrm>
          <a:off x="4597552" y="6047044"/>
          <a:ext cx="495642" cy="4913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12</xdr:col>
      <xdr:colOff>349932</xdr:colOff>
      <xdr:row>42</xdr:row>
      <xdr:rowOff>98563</xdr:rowOff>
    </xdr:from>
    <xdr:to>
      <xdr:col>12</xdr:col>
      <xdr:colOff>361293</xdr:colOff>
      <xdr:row>43</xdr:row>
      <xdr:rowOff>99237</xdr:rowOff>
    </xdr:to>
    <xdr:cxnSp macro="">
      <xdr:nvCxnSpPr>
        <xdr:cNvPr id="389" name="Straight Arrow Connector 388">
          <a:extLst>
            <a:ext uri="{FF2B5EF4-FFF2-40B4-BE49-F238E27FC236}">
              <a16:creationId xmlns:a16="http://schemas.microsoft.com/office/drawing/2014/main" id="{96860EFE-BBDC-4B2F-AF85-06BD89834119}"/>
            </a:ext>
          </a:extLst>
        </xdr:cNvPr>
        <xdr:cNvCxnSpPr/>
      </xdr:nvCxnSpPr>
      <xdr:spPr>
        <a:xfrm>
          <a:off x="4468673" y="6503304"/>
          <a:ext cx="11361" cy="151761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33341</xdr:colOff>
      <xdr:row>37</xdr:row>
      <xdr:rowOff>94558</xdr:rowOff>
    </xdr:from>
    <xdr:to>
      <xdr:col>9</xdr:col>
      <xdr:colOff>144520</xdr:colOff>
      <xdr:row>45</xdr:row>
      <xdr:rowOff>61028</xdr:rowOff>
    </xdr:to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13F6CAD7-7306-43EA-ABEE-EE30DAFBB073}"/>
            </a:ext>
          </a:extLst>
        </xdr:cNvPr>
        <xdr:cNvSpPr txBox="1"/>
      </xdr:nvSpPr>
      <xdr:spPr>
        <a:xfrm>
          <a:off x="2622950" y="5833371"/>
          <a:ext cx="492179" cy="121067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</xdr:txBody>
    </xdr:sp>
    <xdr:clientData/>
  </xdr:twoCellAnchor>
  <xdr:twoCellAnchor>
    <xdr:from>
      <xdr:col>8</xdr:col>
      <xdr:colOff>19577</xdr:colOff>
      <xdr:row>20</xdr:row>
      <xdr:rowOff>75653</xdr:rowOff>
    </xdr:from>
    <xdr:to>
      <xdr:col>9</xdr:col>
      <xdr:colOff>164947</xdr:colOff>
      <xdr:row>24</xdr:row>
      <xdr:rowOff>45472</xdr:rowOff>
    </xdr:to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04AA9EA-7F4C-4396-BC93-BB8AFFFA48AD}"/>
            </a:ext>
          </a:extLst>
        </xdr:cNvPr>
        <xdr:cNvSpPr txBox="1"/>
      </xdr:nvSpPr>
      <xdr:spPr>
        <a:xfrm>
          <a:off x="2609186" y="3189137"/>
          <a:ext cx="526370" cy="5889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24746</xdr:colOff>
      <xdr:row>24</xdr:row>
      <xdr:rowOff>100863</xdr:rowOff>
    </xdr:from>
    <xdr:to>
      <xdr:col>9</xdr:col>
      <xdr:colOff>170116</xdr:colOff>
      <xdr:row>28</xdr:row>
      <xdr:rowOff>62323</xdr:rowOff>
    </xdr:to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A367797-5D30-4CD7-8E35-06D77FCDE419}"/>
            </a:ext>
          </a:extLst>
        </xdr:cNvPr>
        <xdr:cNvSpPr txBox="1"/>
      </xdr:nvSpPr>
      <xdr:spPr>
        <a:xfrm>
          <a:off x="2614355" y="3833472"/>
          <a:ext cx="526370" cy="5805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24418</xdr:colOff>
      <xdr:row>28</xdr:row>
      <xdr:rowOff>109758</xdr:rowOff>
    </xdr:from>
    <xdr:to>
      <xdr:col>9</xdr:col>
      <xdr:colOff>169788</xdr:colOff>
      <xdr:row>32</xdr:row>
      <xdr:rowOff>94367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76AF296-6605-45D7-97D9-DD9C66C4222A}"/>
            </a:ext>
          </a:extLst>
        </xdr:cNvPr>
        <xdr:cNvSpPr txBox="1"/>
      </xdr:nvSpPr>
      <xdr:spPr>
        <a:xfrm>
          <a:off x="2614027" y="4461492"/>
          <a:ext cx="526370" cy="59182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24550</xdr:colOff>
      <xdr:row>32</xdr:row>
      <xdr:rowOff>138161</xdr:rowOff>
    </xdr:from>
    <xdr:to>
      <xdr:col>9</xdr:col>
      <xdr:colOff>169920</xdr:colOff>
      <xdr:row>37</xdr:row>
      <xdr:rowOff>65484</xdr:rowOff>
    </xdr:to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82F42FF5-EA42-424C-9E87-88FD38FC428D}"/>
            </a:ext>
          </a:extLst>
        </xdr:cNvPr>
        <xdr:cNvSpPr txBox="1"/>
      </xdr:nvSpPr>
      <xdr:spPr>
        <a:xfrm>
          <a:off x="2614159" y="5097114"/>
          <a:ext cx="526370" cy="70718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9</xdr:col>
      <xdr:colOff>234074</xdr:colOff>
      <xdr:row>34</xdr:row>
      <xdr:rowOff>58524</xdr:rowOff>
    </xdr:from>
    <xdr:to>
      <xdr:col>9</xdr:col>
      <xdr:colOff>241788</xdr:colOff>
      <xdr:row>37</xdr:row>
      <xdr:rowOff>94226</xdr:rowOff>
    </xdr:to>
    <xdr:cxnSp macro="">
      <xdr:nvCxnSpPr>
        <xdr:cNvPr id="396" name="Straight Connector 395">
          <a:extLst>
            <a:ext uri="{FF2B5EF4-FFF2-40B4-BE49-F238E27FC236}">
              <a16:creationId xmlns:a16="http://schemas.microsoft.com/office/drawing/2014/main" id="{269FBA61-2B1E-4ECD-B40D-AFB09165A50E}"/>
            </a:ext>
          </a:extLst>
        </xdr:cNvPr>
        <xdr:cNvCxnSpPr>
          <a:stCxn id="323" idx="2"/>
          <a:endCxn id="35" idx="2"/>
        </xdr:cNvCxnSpPr>
      </xdr:nvCxnSpPr>
      <xdr:spPr>
        <a:xfrm>
          <a:off x="3208805" y="5304601"/>
          <a:ext cx="7714" cy="50462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131387</xdr:colOff>
      <xdr:row>38</xdr:row>
      <xdr:rowOff>7553</xdr:rowOff>
    </xdr:from>
    <xdr:to>
      <xdr:col>11</xdr:col>
      <xdr:colOff>60481</xdr:colOff>
      <xdr:row>38</xdr:row>
      <xdr:rowOff>62255</xdr:rowOff>
    </xdr:to>
    <xdr:cxnSp macro="">
      <xdr:nvCxnSpPr>
        <xdr:cNvPr id="397" name="Straight Connector 396">
          <a:extLst>
            <a:ext uri="{FF2B5EF4-FFF2-40B4-BE49-F238E27FC236}">
              <a16:creationId xmlns:a16="http://schemas.microsoft.com/office/drawing/2014/main" id="{3D200607-D69B-455B-A392-5507451EE581}"/>
            </a:ext>
          </a:extLst>
        </xdr:cNvPr>
        <xdr:cNvCxnSpPr>
          <a:stCxn id="319" idx="5"/>
          <a:endCxn id="379" idx="2"/>
        </xdr:cNvCxnSpPr>
      </xdr:nvCxnSpPr>
      <xdr:spPr>
        <a:xfrm>
          <a:off x="3488128" y="5807950"/>
          <a:ext cx="310094" cy="54702"/>
        </a:xfrm>
        <a:prstGeom prst="line">
          <a:avLst/>
        </a:prstGeom>
        <a:ln w="3175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299282</xdr:colOff>
      <xdr:row>39</xdr:row>
      <xdr:rowOff>38565</xdr:rowOff>
    </xdr:from>
    <xdr:to>
      <xdr:col>7</xdr:col>
      <xdr:colOff>35514</xdr:colOff>
      <xdr:row>44</xdr:row>
      <xdr:rowOff>105713</xdr:rowOff>
    </xdr:to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58DD9207-2073-4418-AC22-CE7F310CF006}"/>
            </a:ext>
          </a:extLst>
        </xdr:cNvPr>
        <xdr:cNvSpPr txBox="1"/>
      </xdr:nvSpPr>
      <xdr:spPr>
        <a:xfrm>
          <a:off x="1745891" y="6092893"/>
          <a:ext cx="498232" cy="84105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</a:p>
      </xdr:txBody>
    </xdr:sp>
    <xdr:clientData/>
  </xdr:twoCellAnchor>
  <xdr:twoCellAnchor editAs="oneCell">
    <xdr:from>
      <xdr:col>14</xdr:col>
      <xdr:colOff>136754</xdr:colOff>
      <xdr:row>43</xdr:row>
      <xdr:rowOff>37590</xdr:rowOff>
    </xdr:from>
    <xdr:to>
      <xdr:col>14</xdr:col>
      <xdr:colOff>298210</xdr:colOff>
      <xdr:row>44</xdr:row>
      <xdr:rowOff>81549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4CE907E-79AC-4143-80ED-4C10682E1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942" b="94347" l="9780" r="89976">
                      <a14:foregroundMark x1="60880" y1="17544" x2="45477" y2="20468"/>
                      <a14:foregroundMark x1="87286" y1="38402" x2="88020" y2="40741"/>
                      <a14:foregroundMark x1="26406" y1="39571" x2="26406" y2="42690"/>
                      <a14:foregroundMark x1="59902" y1="84211" x2="60391" y2="88109"/>
                      <a14:foregroundMark x1="55746" y1="38986" x2="56479" y2="41520"/>
                      <a14:foregroundMark x1="63570" y1="94347" x2="63570" y2="9434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16485" y="6683109"/>
          <a:ext cx="161456" cy="197825"/>
        </a:xfrm>
        <a:prstGeom prst="rect">
          <a:avLst/>
        </a:prstGeom>
      </xdr:spPr>
    </xdr:pic>
    <xdr:clientData/>
  </xdr:twoCellAnchor>
  <xdr:twoCellAnchor>
    <xdr:from>
      <xdr:col>11</xdr:col>
      <xdr:colOff>314552</xdr:colOff>
      <xdr:row>43</xdr:row>
      <xdr:rowOff>78377</xdr:rowOff>
    </xdr:from>
    <xdr:to>
      <xdr:col>12</xdr:col>
      <xdr:colOff>368958</xdr:colOff>
      <xdr:row>45</xdr:row>
      <xdr:rowOff>28207</xdr:rowOff>
    </xdr:to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C1DDA29D-41FD-4F95-9831-FE7A43C81C6B}"/>
            </a:ext>
          </a:extLst>
        </xdr:cNvPr>
        <xdr:cNvSpPr txBox="1"/>
      </xdr:nvSpPr>
      <xdr:spPr>
        <a:xfrm>
          <a:off x="4051283" y="6723896"/>
          <a:ext cx="435406" cy="25756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4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BANGUNAN </a:t>
          </a:r>
        </a:p>
      </xdr:txBody>
    </xdr:sp>
    <xdr:clientData/>
  </xdr:twoCellAnchor>
  <xdr:twoCellAnchor>
    <xdr:from>
      <xdr:col>12</xdr:col>
      <xdr:colOff>275338</xdr:colOff>
      <xdr:row>42</xdr:row>
      <xdr:rowOff>93075</xdr:rowOff>
    </xdr:from>
    <xdr:to>
      <xdr:col>12</xdr:col>
      <xdr:colOff>341670</xdr:colOff>
      <xdr:row>42</xdr:row>
      <xdr:rowOff>152206</xdr:rowOff>
    </xdr:to>
    <xdr:cxnSp macro="">
      <xdr:nvCxnSpPr>
        <xdr:cNvPr id="402" name="Straight Connector 401">
          <a:extLst>
            <a:ext uri="{FF2B5EF4-FFF2-40B4-BE49-F238E27FC236}">
              <a16:creationId xmlns:a16="http://schemas.microsoft.com/office/drawing/2014/main" id="{F6F16D7D-0B40-4080-AC78-6B10601C09F0}"/>
            </a:ext>
          </a:extLst>
        </xdr:cNvPr>
        <xdr:cNvCxnSpPr>
          <a:stCxn id="384" idx="4"/>
          <a:endCxn id="298" idx="3"/>
        </xdr:cNvCxnSpPr>
      </xdr:nvCxnSpPr>
      <xdr:spPr>
        <a:xfrm flipH="1">
          <a:off x="4393069" y="6584729"/>
          <a:ext cx="66332" cy="5913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10510</xdr:colOff>
      <xdr:row>12</xdr:row>
      <xdr:rowOff>114394</xdr:rowOff>
    </xdr:from>
    <xdr:to>
      <xdr:col>13</xdr:col>
      <xdr:colOff>229585</xdr:colOff>
      <xdr:row>12</xdr:row>
      <xdr:rowOff>129225</xdr:rowOff>
    </xdr:to>
    <xdr:cxnSp macro="">
      <xdr:nvCxnSpPr>
        <xdr:cNvPr id="403" name="Straight Connector 402">
          <a:extLst>
            <a:ext uri="{FF2B5EF4-FFF2-40B4-BE49-F238E27FC236}">
              <a16:creationId xmlns:a16="http://schemas.microsoft.com/office/drawing/2014/main" id="{F759EEC9-DF0F-4DC8-AF29-B52C290DE117}"/>
            </a:ext>
          </a:extLst>
        </xdr:cNvPr>
        <xdr:cNvCxnSpPr/>
      </xdr:nvCxnSpPr>
      <xdr:spPr>
        <a:xfrm flipH="1">
          <a:off x="1081251" y="1953704"/>
          <a:ext cx="3648075" cy="14831"/>
        </a:xfrm>
        <a:prstGeom prst="line">
          <a:avLst/>
        </a:prstGeom>
        <a:ln w="1778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249049</xdr:colOff>
      <xdr:row>26</xdr:row>
      <xdr:rowOff>12270</xdr:rowOff>
    </xdr:from>
    <xdr:to>
      <xdr:col>6</xdr:col>
      <xdr:colOff>340890</xdr:colOff>
      <xdr:row>32</xdr:row>
      <xdr:rowOff>82866</xdr:rowOff>
    </xdr:to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C591E753-8C83-4748-A0D0-8A0051900AF3}"/>
            </a:ext>
          </a:extLst>
        </xdr:cNvPr>
        <xdr:cNvSpPr txBox="1"/>
      </xdr:nvSpPr>
      <xdr:spPr>
        <a:xfrm>
          <a:off x="1319790" y="3979925"/>
          <a:ext cx="853841" cy="97054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PT LESSO</a:t>
          </a:r>
        </a:p>
      </xdr:txBody>
    </xdr:sp>
    <xdr:clientData/>
  </xdr:twoCellAnchor>
  <xdr:twoCellAnchor editAs="oneCell">
    <xdr:from>
      <xdr:col>3</xdr:col>
      <xdr:colOff>357605</xdr:colOff>
      <xdr:row>20</xdr:row>
      <xdr:rowOff>114784</xdr:rowOff>
    </xdr:from>
    <xdr:to>
      <xdr:col>7</xdr:col>
      <xdr:colOff>208152</xdr:colOff>
      <xdr:row>28</xdr:row>
      <xdr:rowOff>107828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A34FDB1E-6D4E-4DA4-9A29-0C34675B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1000" l="10000" r="91222">
                      <a14:foregroundMark x1="37000" y1="18750" x2="38000" y2="40375"/>
                      <a14:foregroundMark x1="43111" y1="14000" x2="43222" y2="33500"/>
                      <a14:foregroundMark x1="48556" y1="10000" x2="49222" y2="35000"/>
                      <a14:foregroundMark x1="37333" y1="16250" x2="37222" y2="24000"/>
                      <a14:foregroundMark x1="52222" y1="91000" x2="56000" y2="91000"/>
                      <a14:foregroundMark x1="91222" y1="69625" x2="89556" y2="69250"/>
                      <a14:foregroundMark x1="77000" y1="61375" x2="69444" y2="57750"/>
                      <a14:foregroundMark x1="57778" y1="69375" x2="53889" y2="74875"/>
                      <a14:foregroundMark x1="53889" y1="74875" x2="61889" y2="73125"/>
                      <a14:foregroundMark x1="61889" y1="73125" x2="54556" y2="72500"/>
                      <a14:foregroundMark x1="54556" y1="72500" x2="51667" y2="74625"/>
                      <a14:foregroundMark x1="77778" y1="58875" x2="77778" y2="58875"/>
                      <a14:backgroundMark x1="45778" y1="11500" x2="46333" y2="23875"/>
                      <a14:backgroundMark x1="46111" y1="25125" x2="46333" y2="27000"/>
                      <a14:backgroundMark x1="45667" y1="27250" x2="46000" y2="29125"/>
                      <a14:backgroundMark x1="45778" y1="29125" x2="45889" y2="3012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346" y="3175922"/>
          <a:ext cx="1374547" cy="1201734"/>
        </a:xfrm>
        <a:prstGeom prst="rect">
          <a:avLst/>
        </a:prstGeom>
      </xdr:spPr>
    </xdr:pic>
    <xdr:clientData/>
  </xdr:twoCellAnchor>
  <xdr:twoCellAnchor>
    <xdr:from>
      <xdr:col>9</xdr:col>
      <xdr:colOff>78273</xdr:colOff>
      <xdr:row>7</xdr:row>
      <xdr:rowOff>132523</xdr:rowOff>
    </xdr:from>
    <xdr:to>
      <xdr:col>10</xdr:col>
      <xdr:colOff>192112</xdr:colOff>
      <xdr:row>13</xdr:row>
      <xdr:rowOff>55538</xdr:rowOff>
    </xdr:to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903AD851-ED5C-4E82-ACCE-56801F52AC91}"/>
            </a:ext>
          </a:extLst>
        </xdr:cNvPr>
        <xdr:cNvSpPr txBox="1"/>
      </xdr:nvSpPr>
      <xdr:spPr>
        <a:xfrm>
          <a:off x="3060012" y="1209262"/>
          <a:ext cx="494839" cy="8341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24/19A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C14-350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CG312A</a:t>
          </a:r>
        </a:p>
        <a:p>
          <a:pPr algn="l"/>
          <a:r>
            <a:rPr lang="en-US" sz="5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17482</xdr:colOff>
      <xdr:row>16</xdr:row>
      <xdr:rowOff>65180</xdr:rowOff>
    </xdr:from>
    <xdr:to>
      <xdr:col>9</xdr:col>
      <xdr:colOff>162852</xdr:colOff>
      <xdr:row>20</xdr:row>
      <xdr:rowOff>32335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E5FB858B-AA5C-4320-90A5-E7749CD117A3}"/>
            </a:ext>
          </a:extLst>
        </xdr:cNvPr>
        <xdr:cNvSpPr txBox="1"/>
      </xdr:nvSpPr>
      <xdr:spPr>
        <a:xfrm>
          <a:off x="2607091" y="2559539"/>
          <a:ext cx="526370" cy="5862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SYG06-51/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24/19A 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CC9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227135</xdr:colOff>
      <xdr:row>17</xdr:row>
      <xdr:rowOff>14654</xdr:rowOff>
    </xdr:from>
    <xdr:to>
      <xdr:col>9</xdr:col>
      <xdr:colOff>337653</xdr:colOff>
      <xdr:row>17</xdr:row>
      <xdr:rowOff>129895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DF62AF6-9580-408C-8D5E-7237043612AE}"/>
            </a:ext>
          </a:extLst>
        </xdr:cNvPr>
        <xdr:cNvGrpSpPr/>
      </xdr:nvGrpSpPr>
      <xdr:grpSpPr>
        <a:xfrm>
          <a:off x="3197744" y="2663795"/>
          <a:ext cx="110518" cy="1152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982D46B-0960-3E62-AD18-B4902F8472C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4BC59AE7-9D2E-AD18-E03F-E59A2C3041AA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60522E3-3DB6-36E6-C896-065479912BCF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234462</xdr:colOff>
      <xdr:row>21</xdr:row>
      <xdr:rowOff>51289</xdr:rowOff>
    </xdr:from>
    <xdr:to>
      <xdr:col>9</xdr:col>
      <xdr:colOff>344980</xdr:colOff>
      <xdr:row>22</xdr:row>
      <xdr:rowOff>12665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2C7FA6B-11E5-425F-BE10-37975ACD0569}"/>
            </a:ext>
          </a:extLst>
        </xdr:cNvPr>
        <xdr:cNvGrpSpPr/>
      </xdr:nvGrpSpPr>
      <xdr:grpSpPr>
        <a:xfrm>
          <a:off x="3205071" y="3319555"/>
          <a:ext cx="110518" cy="1161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952E6C9F-CA8C-0C60-8815-11892C33A43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485B9D93-D921-AABE-00C7-C878BFBA6E57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324ADA7-4249-1D57-9A08-F5CDC869E13F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227135</xdr:colOff>
      <xdr:row>25</xdr:row>
      <xdr:rowOff>65943</xdr:rowOff>
    </xdr:from>
    <xdr:to>
      <xdr:col>9</xdr:col>
      <xdr:colOff>337653</xdr:colOff>
      <xdr:row>26</xdr:row>
      <xdr:rowOff>27318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E3A55EDD-B2F4-48E6-9F4F-1C16946B6F01}"/>
            </a:ext>
          </a:extLst>
        </xdr:cNvPr>
        <xdr:cNvGrpSpPr/>
      </xdr:nvGrpSpPr>
      <xdr:grpSpPr>
        <a:xfrm>
          <a:off x="3197744" y="3953334"/>
          <a:ext cx="110518" cy="1161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89DD385F-C233-2CBB-9E11-9FE8774B14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364EF197-CE46-D8E4-4B71-550094EE632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7DB16C99-83FF-3EF9-5E9D-033DE2CA1565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234462</xdr:colOff>
      <xdr:row>29</xdr:row>
      <xdr:rowOff>21980</xdr:rowOff>
    </xdr:from>
    <xdr:to>
      <xdr:col>9</xdr:col>
      <xdr:colOff>344980</xdr:colOff>
      <xdr:row>29</xdr:row>
      <xdr:rowOff>137221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2E30ADE-FAFD-49E7-BF91-23AF8973DD23}"/>
            </a:ext>
          </a:extLst>
        </xdr:cNvPr>
        <xdr:cNvGrpSpPr/>
      </xdr:nvGrpSpPr>
      <xdr:grpSpPr>
        <a:xfrm>
          <a:off x="3205071" y="4528496"/>
          <a:ext cx="110518" cy="1152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5D375363-DC8A-1AFC-6D97-0F6A208836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CA87656-3DD3-2AC9-25FF-25DAACAA7B4F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F7D1B6BF-199E-133B-8FE0-981344D4608D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227135</xdr:colOff>
      <xdr:row>33</xdr:row>
      <xdr:rowOff>58614</xdr:rowOff>
    </xdr:from>
    <xdr:to>
      <xdr:col>9</xdr:col>
      <xdr:colOff>337653</xdr:colOff>
      <xdr:row>34</xdr:row>
      <xdr:rowOff>19990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7CB9BD64-1AF8-4CED-9A45-1479526B81A1}"/>
            </a:ext>
          </a:extLst>
        </xdr:cNvPr>
        <xdr:cNvGrpSpPr/>
      </xdr:nvGrpSpPr>
      <xdr:grpSpPr>
        <a:xfrm>
          <a:off x="3197744" y="5172348"/>
          <a:ext cx="110518" cy="11615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AACADBF-C607-C1D1-0417-FA8C1D3410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972BB466-3ADD-F3E6-6CBC-AC32B56DA845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ABCABF89-B198-2F74-2703-823A6FDA0DEE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21981</xdr:colOff>
      <xdr:row>37</xdr:row>
      <xdr:rowOff>87924</xdr:rowOff>
    </xdr:from>
    <xdr:to>
      <xdr:col>10</xdr:col>
      <xdr:colOff>132499</xdr:colOff>
      <xdr:row>38</xdr:row>
      <xdr:rowOff>41973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74AC8619-9781-4AD7-8549-A73B30D42610}"/>
            </a:ext>
          </a:extLst>
        </xdr:cNvPr>
        <xdr:cNvGrpSpPr/>
      </xdr:nvGrpSpPr>
      <xdr:grpSpPr>
        <a:xfrm>
          <a:off x="3373590" y="5826737"/>
          <a:ext cx="110518" cy="1147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1322DB2-8AD1-396D-9055-4F85655DB3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3690B7AE-B46A-FD41-07AC-1A2DFA789779}"/>
              </a:ext>
            </a:extLst>
          </xdr:cNvPr>
          <xdr:cNvCxnSpPr>
            <a:stCxn id="31" idx="1"/>
            <a:endCxn id="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BA1C123F-2902-C39E-A03F-B86F70A5402E}"/>
              </a:ext>
            </a:extLst>
          </xdr:cNvPr>
          <xdr:cNvCxnSpPr>
            <a:stCxn id="31" idx="3"/>
            <a:endCxn id="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241788</xdr:colOff>
      <xdr:row>37</xdr:row>
      <xdr:rowOff>36634</xdr:rowOff>
    </xdr:from>
    <xdr:to>
      <xdr:col>9</xdr:col>
      <xdr:colOff>352306</xdr:colOff>
      <xdr:row>37</xdr:row>
      <xdr:rowOff>151817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3778C02D-32DC-4609-A07D-E0478C46E30D}"/>
            </a:ext>
          </a:extLst>
        </xdr:cNvPr>
        <xdr:cNvGrpSpPr/>
      </xdr:nvGrpSpPr>
      <xdr:grpSpPr>
        <a:xfrm>
          <a:off x="3212397" y="5775447"/>
          <a:ext cx="110518" cy="1151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8EBC7DFD-3BBB-39CE-7DEF-9465254859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B1CEC85E-FD3B-FD8D-121E-EC8FD2989A02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A6152BEE-85CA-3DEF-A9C2-A5B2F5649C39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249116</xdr:colOff>
      <xdr:row>37</xdr:row>
      <xdr:rowOff>153866</xdr:rowOff>
    </xdr:from>
    <xdr:to>
      <xdr:col>9</xdr:col>
      <xdr:colOff>359634</xdr:colOff>
      <xdr:row>38</xdr:row>
      <xdr:rowOff>107857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C375587-EE6D-447B-9822-ECDC937F1F82}"/>
            </a:ext>
          </a:extLst>
        </xdr:cNvPr>
        <xdr:cNvGrpSpPr/>
      </xdr:nvGrpSpPr>
      <xdr:grpSpPr>
        <a:xfrm>
          <a:off x="3219725" y="5892679"/>
          <a:ext cx="110518" cy="1147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038201B3-C96B-0608-78A3-29AB2AB72C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9C123450-3A21-84A5-FF88-2B7514CAA91D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7E7DEB8E-E8F1-C5B3-621B-01B5C0DA9B4F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328407</xdr:colOff>
      <xdr:row>14</xdr:row>
      <xdr:rowOff>80830</xdr:rowOff>
    </xdr:from>
    <xdr:to>
      <xdr:col>9</xdr:col>
      <xdr:colOff>330572</xdr:colOff>
      <xdr:row>34</xdr:row>
      <xdr:rowOff>17800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AD516317-3CBF-4ACA-8733-3208664206C4}"/>
            </a:ext>
          </a:extLst>
        </xdr:cNvPr>
        <xdr:cNvCxnSpPr>
          <a:stCxn id="363" idx="5"/>
          <a:endCxn id="323" idx="7"/>
        </xdr:cNvCxnSpPr>
      </xdr:nvCxnSpPr>
      <xdr:spPr>
        <a:xfrm flipH="1">
          <a:off x="3303138" y="2256926"/>
          <a:ext cx="2165" cy="300695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328407</xdr:colOff>
      <xdr:row>34</xdr:row>
      <xdr:rowOff>99247</xdr:rowOff>
    </xdr:from>
    <xdr:to>
      <xdr:col>10</xdr:col>
      <xdr:colOff>77240</xdr:colOff>
      <xdr:row>37</xdr:row>
      <xdr:rowOff>87924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9EB84C8F-F7B8-4A98-9709-67EA7279E2DB}"/>
            </a:ext>
          </a:extLst>
        </xdr:cNvPr>
        <xdr:cNvCxnSpPr>
          <a:stCxn id="323" idx="5"/>
          <a:endCxn id="31" idx="0"/>
        </xdr:cNvCxnSpPr>
      </xdr:nvCxnSpPr>
      <xdr:spPr>
        <a:xfrm>
          <a:off x="3303138" y="5345324"/>
          <a:ext cx="129833" cy="45760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256442</xdr:colOff>
      <xdr:row>14</xdr:row>
      <xdr:rowOff>139213</xdr:rowOff>
    </xdr:from>
    <xdr:to>
      <xdr:col>10</xdr:col>
      <xdr:colOff>80596</xdr:colOff>
      <xdr:row>16</xdr:row>
      <xdr:rowOff>123094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8A5653F0-6C28-3756-FA28-FBB8AAD6032D}"/>
            </a:ext>
          </a:extLst>
        </xdr:cNvPr>
        <xdr:cNvGrpSpPr/>
      </xdr:nvGrpSpPr>
      <xdr:grpSpPr>
        <a:xfrm>
          <a:off x="3227051" y="2324010"/>
          <a:ext cx="205154" cy="293443"/>
          <a:chOff x="5868865" y="2996712"/>
          <a:chExt cx="293077" cy="254977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1B1733B3-2CC3-B066-0457-74B0FCE32EF4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562316E-3CF8-4E9F-AEA6-2F151E0DF96E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205155</xdr:colOff>
      <xdr:row>16</xdr:row>
      <xdr:rowOff>131885</xdr:rowOff>
    </xdr:from>
    <xdr:to>
      <xdr:col>10</xdr:col>
      <xdr:colOff>14655</xdr:colOff>
      <xdr:row>17</xdr:row>
      <xdr:rowOff>130420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694CB7A8-76BB-4709-B718-6FEF7EDA66DB}"/>
            </a:ext>
          </a:extLst>
        </xdr:cNvPr>
        <xdr:cNvGrpSpPr/>
      </xdr:nvGrpSpPr>
      <xdr:grpSpPr>
        <a:xfrm>
          <a:off x="3175764" y="2626244"/>
          <a:ext cx="190500" cy="153317"/>
          <a:chOff x="5868865" y="2996712"/>
          <a:chExt cx="293077" cy="254977"/>
        </a:xfrm>
      </xdr:grpSpPr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968E2219-B56A-FFF3-51F2-4058878B084A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0E46E75A-DC26-9411-968D-FFC90C484D13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227134</xdr:colOff>
      <xdr:row>20</xdr:row>
      <xdr:rowOff>131885</xdr:rowOff>
    </xdr:from>
    <xdr:to>
      <xdr:col>10</xdr:col>
      <xdr:colOff>43961</xdr:colOff>
      <xdr:row>22</xdr:row>
      <xdr:rowOff>42495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398179AA-2845-458D-9988-81C12B63CA4F}"/>
            </a:ext>
          </a:extLst>
        </xdr:cNvPr>
        <xdr:cNvGrpSpPr/>
      </xdr:nvGrpSpPr>
      <xdr:grpSpPr>
        <a:xfrm>
          <a:off x="3197743" y="3245369"/>
          <a:ext cx="197827" cy="220173"/>
          <a:chOff x="5868865" y="2996712"/>
          <a:chExt cx="293077" cy="254977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1F8429C-C6AB-279E-2C1B-13217AE15014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100EF607-B386-2DA2-1DCB-538002B46B4A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212481</xdr:colOff>
      <xdr:row>24</xdr:row>
      <xdr:rowOff>146538</xdr:rowOff>
    </xdr:from>
    <xdr:to>
      <xdr:col>10</xdr:col>
      <xdr:colOff>29308</xdr:colOff>
      <xdr:row>26</xdr:row>
      <xdr:rowOff>57148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ED66DB85-69DB-4710-A42F-37D531EFE122}"/>
            </a:ext>
          </a:extLst>
        </xdr:cNvPr>
        <xdr:cNvGrpSpPr/>
      </xdr:nvGrpSpPr>
      <xdr:grpSpPr>
        <a:xfrm>
          <a:off x="3183090" y="3879147"/>
          <a:ext cx="197827" cy="220173"/>
          <a:chOff x="5868865" y="2996712"/>
          <a:chExt cx="293077" cy="254977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F6742D7F-C422-4109-59D7-8B9EBEB83ACA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5616D3BB-6F60-9819-B797-9C8388C15DB3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197827</xdr:colOff>
      <xdr:row>28</xdr:row>
      <xdr:rowOff>73269</xdr:rowOff>
    </xdr:from>
    <xdr:to>
      <xdr:col>10</xdr:col>
      <xdr:colOff>14654</xdr:colOff>
      <xdr:row>29</xdr:row>
      <xdr:rowOff>137745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C18F02CD-E31E-49DA-B021-1CAFD5EDAC59}"/>
            </a:ext>
          </a:extLst>
        </xdr:cNvPr>
        <xdr:cNvGrpSpPr/>
      </xdr:nvGrpSpPr>
      <xdr:grpSpPr>
        <a:xfrm>
          <a:off x="3168436" y="4425003"/>
          <a:ext cx="197827" cy="219258"/>
          <a:chOff x="5868865" y="2996712"/>
          <a:chExt cx="293077" cy="254977"/>
        </a:xfrm>
      </xdr:grpSpPr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5F12231F-F6DE-784C-C122-901B556201BB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FDE9A9AB-4561-CD7F-EDC5-0EC31F35DC31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212480</xdr:colOff>
      <xdr:row>32</xdr:row>
      <xdr:rowOff>124558</xdr:rowOff>
    </xdr:from>
    <xdr:to>
      <xdr:col>10</xdr:col>
      <xdr:colOff>29307</xdr:colOff>
      <xdr:row>34</xdr:row>
      <xdr:rowOff>35168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0BEDA4CA-5193-4684-A7E7-CA7717A5BD37}"/>
            </a:ext>
          </a:extLst>
        </xdr:cNvPr>
        <xdr:cNvGrpSpPr/>
      </xdr:nvGrpSpPr>
      <xdr:grpSpPr>
        <a:xfrm>
          <a:off x="3183089" y="5083511"/>
          <a:ext cx="197827" cy="220173"/>
          <a:chOff x="5868865" y="2996712"/>
          <a:chExt cx="293077" cy="254977"/>
        </a:xfrm>
      </xdr:grpSpPr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3BD93468-10A6-FC45-EF31-6B4EB6189602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E5CD6EE-7F9E-505C-D97F-FA7CF2E60B05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373673</xdr:colOff>
      <xdr:row>37</xdr:row>
      <xdr:rowOff>7328</xdr:rowOff>
    </xdr:from>
    <xdr:to>
      <xdr:col>10</xdr:col>
      <xdr:colOff>190500</xdr:colOff>
      <xdr:row>38</xdr:row>
      <xdr:rowOff>64477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74B04038-7F1B-4626-8CE1-A62BCD6A9713}"/>
            </a:ext>
          </a:extLst>
        </xdr:cNvPr>
        <xdr:cNvGrpSpPr/>
      </xdr:nvGrpSpPr>
      <xdr:grpSpPr>
        <a:xfrm>
          <a:off x="3344282" y="5746141"/>
          <a:ext cx="197827" cy="217883"/>
          <a:chOff x="5868865" y="2996712"/>
          <a:chExt cx="293077" cy="254977"/>
        </a:xfrm>
      </xdr:grpSpPr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2C898DA4-DD2F-D3A5-DDDE-D59506CA0E5F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9699510-B168-6A1E-FCC7-0365A821A90F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242658</xdr:colOff>
      <xdr:row>15</xdr:row>
      <xdr:rowOff>6458</xdr:rowOff>
    </xdr:from>
    <xdr:to>
      <xdr:col>10</xdr:col>
      <xdr:colOff>65071</xdr:colOff>
      <xdr:row>17</xdr:row>
      <xdr:rowOff>50420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E3F9BA84-D61A-425B-B8BD-F5AA0A551C01}"/>
            </a:ext>
          </a:extLst>
        </xdr:cNvPr>
        <xdr:cNvSpPr txBox="1"/>
      </xdr:nvSpPr>
      <xdr:spPr>
        <a:xfrm rot="5400000">
          <a:off x="3143250" y="2410559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255847</xdr:colOff>
      <xdr:row>18</xdr:row>
      <xdr:rowOff>92917</xdr:rowOff>
    </xdr:from>
    <xdr:to>
      <xdr:col>10</xdr:col>
      <xdr:colOff>78260</xdr:colOff>
      <xdr:row>20</xdr:row>
      <xdr:rowOff>136879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5EEA1A6-A17D-425A-B7C9-91E5D829B230}"/>
            </a:ext>
          </a:extLst>
        </xdr:cNvPr>
        <xdr:cNvSpPr txBox="1"/>
      </xdr:nvSpPr>
      <xdr:spPr>
        <a:xfrm rot="5400000">
          <a:off x="3156439" y="2958614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263769</xdr:colOff>
      <xdr:row>22</xdr:row>
      <xdr:rowOff>117230</xdr:rowOff>
    </xdr:from>
    <xdr:to>
      <xdr:col>10</xdr:col>
      <xdr:colOff>86182</xdr:colOff>
      <xdr:row>25</xdr:row>
      <xdr:rowOff>7326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3A07566-F33B-42CA-AD7B-F9857C723B21}"/>
            </a:ext>
          </a:extLst>
        </xdr:cNvPr>
        <xdr:cNvSpPr txBox="1"/>
      </xdr:nvSpPr>
      <xdr:spPr>
        <a:xfrm rot="5400000">
          <a:off x="3164361" y="3598388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249116</xdr:colOff>
      <xdr:row>26</xdr:row>
      <xdr:rowOff>109904</xdr:rowOff>
    </xdr:from>
    <xdr:to>
      <xdr:col>10</xdr:col>
      <xdr:colOff>71529</xdr:colOff>
      <xdr:row>29</xdr:row>
      <xdr:rowOff>0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9F73F320-B168-4EC4-BF38-95605EB62341}"/>
            </a:ext>
          </a:extLst>
        </xdr:cNvPr>
        <xdr:cNvSpPr txBox="1"/>
      </xdr:nvSpPr>
      <xdr:spPr>
        <a:xfrm rot="5400000">
          <a:off x="3149708" y="4206524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249115</xdr:colOff>
      <xdr:row>30</xdr:row>
      <xdr:rowOff>102579</xdr:rowOff>
    </xdr:from>
    <xdr:to>
      <xdr:col>10</xdr:col>
      <xdr:colOff>71528</xdr:colOff>
      <xdr:row>32</xdr:row>
      <xdr:rowOff>146540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16A0BDC4-E313-4224-A4F7-E8CB7F281383}"/>
            </a:ext>
          </a:extLst>
        </xdr:cNvPr>
        <xdr:cNvSpPr txBox="1"/>
      </xdr:nvSpPr>
      <xdr:spPr>
        <a:xfrm rot="5400000">
          <a:off x="3149707" y="4807333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285750</xdr:colOff>
      <xdr:row>35</xdr:row>
      <xdr:rowOff>0</xdr:rowOff>
    </xdr:from>
    <xdr:to>
      <xdr:col>10</xdr:col>
      <xdr:colOff>108163</xdr:colOff>
      <xdr:row>37</xdr:row>
      <xdr:rowOff>36634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0EAFD41-3B43-4D13-97F5-E542763E0877}"/>
            </a:ext>
          </a:extLst>
        </xdr:cNvPr>
        <xdr:cNvSpPr txBox="1"/>
      </xdr:nvSpPr>
      <xdr:spPr>
        <a:xfrm rot="3713047">
          <a:off x="3186342" y="5474081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72400</xdr:colOff>
      <xdr:row>37</xdr:row>
      <xdr:rowOff>74140</xdr:rowOff>
    </xdr:from>
    <xdr:to>
      <xdr:col>11</xdr:col>
      <xdr:colOff>43092</xdr:colOff>
      <xdr:row>38</xdr:row>
      <xdr:rowOff>116361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980CBE23-D435-4B31-A4CD-ABB2C3E77400}"/>
            </a:ext>
          </a:extLst>
        </xdr:cNvPr>
        <xdr:cNvSpPr txBox="1"/>
      </xdr:nvSpPr>
      <xdr:spPr>
        <a:xfrm rot="21267455">
          <a:off x="3428131" y="5789140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11</xdr:col>
      <xdr:colOff>262899</xdr:colOff>
      <xdr:row>37</xdr:row>
      <xdr:rowOff>110774</xdr:rowOff>
    </xdr:from>
    <xdr:to>
      <xdr:col>12</xdr:col>
      <xdr:colOff>233591</xdr:colOff>
      <xdr:row>38</xdr:row>
      <xdr:rowOff>152995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BFFAA82E-2C64-4241-903E-9DFBCED89D94}"/>
            </a:ext>
          </a:extLst>
        </xdr:cNvPr>
        <xdr:cNvSpPr txBox="1"/>
      </xdr:nvSpPr>
      <xdr:spPr>
        <a:xfrm rot="21081351">
          <a:off x="3999630" y="5825774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12</xdr:col>
      <xdr:colOff>234461</xdr:colOff>
      <xdr:row>39</xdr:row>
      <xdr:rowOff>58616</xdr:rowOff>
    </xdr:from>
    <xdr:to>
      <xdr:col>13</xdr:col>
      <xdr:colOff>56874</xdr:colOff>
      <xdr:row>41</xdr:row>
      <xdr:rowOff>102578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44D79D2F-DF7A-4C59-9FAD-9AE718C3AA3D}"/>
            </a:ext>
          </a:extLst>
        </xdr:cNvPr>
        <xdr:cNvSpPr txBox="1"/>
      </xdr:nvSpPr>
      <xdr:spPr>
        <a:xfrm rot="5400000">
          <a:off x="4278053" y="6162813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278422</xdr:colOff>
      <xdr:row>19</xdr:row>
      <xdr:rowOff>43962</xdr:rowOff>
    </xdr:from>
    <xdr:to>
      <xdr:col>10</xdr:col>
      <xdr:colOff>43961</xdr:colOff>
      <xdr:row>20</xdr:row>
      <xdr:rowOff>108438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9C931A28-FE3B-4C0C-AC43-D096389E67D7}"/>
            </a:ext>
          </a:extLst>
        </xdr:cNvPr>
        <xdr:cNvGrpSpPr/>
      </xdr:nvGrpSpPr>
      <xdr:grpSpPr>
        <a:xfrm flipH="1">
          <a:off x="3249031" y="3002665"/>
          <a:ext cx="146539" cy="219257"/>
          <a:chOff x="5868865" y="2996712"/>
          <a:chExt cx="293077" cy="254977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F162349B-C4D6-5061-C5A3-BF20011D3A7A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8250604-0F20-FF66-AED9-0F118213DF0F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269630</xdr:colOff>
      <xdr:row>23</xdr:row>
      <xdr:rowOff>49823</xdr:rowOff>
    </xdr:from>
    <xdr:to>
      <xdr:col>10</xdr:col>
      <xdr:colOff>35169</xdr:colOff>
      <xdr:row>24</xdr:row>
      <xdr:rowOff>114299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E488D15-3BFC-4866-B131-430F5E5DC3DD}"/>
            </a:ext>
          </a:extLst>
        </xdr:cNvPr>
        <xdr:cNvGrpSpPr/>
      </xdr:nvGrpSpPr>
      <xdr:grpSpPr>
        <a:xfrm flipH="1">
          <a:off x="3240239" y="3627651"/>
          <a:ext cx="146539" cy="219257"/>
          <a:chOff x="5868865" y="2996712"/>
          <a:chExt cx="293077" cy="254977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A26BFE60-CC47-8B32-B7A0-5EE30C2DDFCA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4AC060C0-1203-A4C8-8928-0244378AC418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275492</xdr:colOff>
      <xdr:row>26</xdr:row>
      <xdr:rowOff>136281</xdr:rowOff>
    </xdr:from>
    <xdr:to>
      <xdr:col>10</xdr:col>
      <xdr:colOff>41031</xdr:colOff>
      <xdr:row>28</xdr:row>
      <xdr:rowOff>46891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7EDB8EBC-6EA9-40D8-82B6-C1D62E6DAE61}"/>
            </a:ext>
          </a:extLst>
        </xdr:cNvPr>
        <xdr:cNvGrpSpPr/>
      </xdr:nvGrpSpPr>
      <xdr:grpSpPr>
        <a:xfrm flipH="1">
          <a:off x="3246101" y="4178453"/>
          <a:ext cx="146539" cy="220172"/>
          <a:chOff x="5868865" y="2996712"/>
          <a:chExt cx="293077" cy="254977"/>
        </a:xfrm>
      </xdr:grpSpPr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27348864-FC81-684D-9CFA-B02F6428DA5C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A2FF5CB9-735B-B5F2-5797-2D217D70FC2F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259373</xdr:colOff>
      <xdr:row>31</xdr:row>
      <xdr:rowOff>2931</xdr:rowOff>
    </xdr:from>
    <xdr:to>
      <xdr:col>10</xdr:col>
      <xdr:colOff>24912</xdr:colOff>
      <xdr:row>32</xdr:row>
      <xdr:rowOff>67407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C6964B99-523D-4ABB-9F0E-409B7FBC5D65}"/>
            </a:ext>
          </a:extLst>
        </xdr:cNvPr>
        <xdr:cNvGrpSpPr/>
      </xdr:nvGrpSpPr>
      <xdr:grpSpPr>
        <a:xfrm flipH="1">
          <a:off x="3229982" y="4807103"/>
          <a:ext cx="146539" cy="219257"/>
          <a:chOff x="5868865" y="2996712"/>
          <a:chExt cx="293077" cy="254977"/>
        </a:xfrm>
      </xdr:grpSpPr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7947265E-95F1-CD92-D18E-1684B94877F8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9EF51C08-25FE-1E32-1C4A-F892D38AE37E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227135</xdr:colOff>
      <xdr:row>41</xdr:row>
      <xdr:rowOff>14654</xdr:rowOff>
    </xdr:from>
    <xdr:to>
      <xdr:col>9</xdr:col>
      <xdr:colOff>337653</xdr:colOff>
      <xdr:row>41</xdr:row>
      <xdr:rowOff>129837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59530B9-CE43-46C5-B5BA-414D54C25401}"/>
            </a:ext>
          </a:extLst>
        </xdr:cNvPr>
        <xdr:cNvGrpSpPr/>
      </xdr:nvGrpSpPr>
      <xdr:grpSpPr>
        <a:xfrm>
          <a:off x="3197744" y="6378545"/>
          <a:ext cx="110518" cy="11518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6" name="Oval 165">
            <a:extLst>
              <a:ext uri="{FF2B5EF4-FFF2-40B4-BE49-F238E27FC236}">
                <a16:creationId xmlns:a16="http://schemas.microsoft.com/office/drawing/2014/main" id="{02BC23D4-4489-BC79-4D11-E1B1CD8E17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D2E349EF-C35E-A500-2E5A-4F31B5F3AC09}"/>
              </a:ext>
            </a:extLst>
          </xdr:cNvPr>
          <xdr:cNvCxnSpPr>
            <a:stCxn id="166" idx="1"/>
            <a:endCxn id="1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D9753817-08B4-8B13-C66A-8A2A4CBCD799}"/>
              </a:ext>
            </a:extLst>
          </xdr:cNvPr>
          <xdr:cNvCxnSpPr>
            <a:stCxn id="166" idx="3"/>
            <a:endCxn id="1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337038</xdr:colOff>
      <xdr:row>46</xdr:row>
      <xdr:rowOff>32053</xdr:rowOff>
    </xdr:from>
    <xdr:to>
      <xdr:col>9</xdr:col>
      <xdr:colOff>227135</xdr:colOff>
      <xdr:row>52</xdr:row>
      <xdr:rowOff>150201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D841373C-5A28-4D09-B535-D69851F7CECE}"/>
            </a:ext>
          </a:extLst>
        </xdr:cNvPr>
        <xdr:cNvSpPr txBox="1"/>
      </xdr:nvSpPr>
      <xdr:spPr>
        <a:xfrm>
          <a:off x="1402647" y="7169850"/>
          <a:ext cx="1795097" cy="114803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BATCHING PLAN MJA</a:t>
          </a:r>
          <a:endParaRPr lang="en-US" sz="2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219808</xdr:colOff>
      <xdr:row>45</xdr:row>
      <xdr:rowOff>117231</xdr:rowOff>
    </xdr:from>
    <xdr:to>
      <xdr:col>9</xdr:col>
      <xdr:colOff>330326</xdr:colOff>
      <xdr:row>46</xdr:row>
      <xdr:rowOff>78549</xdr:rowOff>
    </xdr:to>
    <xdr:grpSp>
      <xdr:nvGrpSpPr>
        <xdr:cNvPr id="175" name="Group 174">
          <a:extLst>
            <a:ext uri="{FF2B5EF4-FFF2-40B4-BE49-F238E27FC236}">
              <a16:creationId xmlns:a16="http://schemas.microsoft.com/office/drawing/2014/main" id="{4E5C752D-C3AD-474F-BBDA-3840DECBCD0A}"/>
            </a:ext>
          </a:extLst>
        </xdr:cNvPr>
        <xdr:cNvGrpSpPr/>
      </xdr:nvGrpSpPr>
      <xdr:grpSpPr>
        <a:xfrm>
          <a:off x="3190417" y="7100247"/>
          <a:ext cx="110518" cy="11609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6" name="Oval 175">
            <a:extLst>
              <a:ext uri="{FF2B5EF4-FFF2-40B4-BE49-F238E27FC236}">
                <a16:creationId xmlns:a16="http://schemas.microsoft.com/office/drawing/2014/main" id="{F75F821A-9EAD-3F12-0A9D-AFBCCE08AC8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2736959B-4836-3579-369A-45151652DE57}"/>
              </a:ext>
            </a:extLst>
          </xdr:cNvPr>
          <xdr:cNvCxnSpPr>
            <a:stCxn id="176" idx="1"/>
            <a:endCxn id="1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6EDECA85-1E23-CE57-F4E5-17D903C45B15}"/>
              </a:ext>
            </a:extLst>
          </xdr:cNvPr>
          <xdr:cNvCxnSpPr>
            <a:stCxn id="176" idx="3"/>
            <a:endCxn id="1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282394</xdr:colOff>
      <xdr:row>38</xdr:row>
      <xdr:rowOff>107857</xdr:rowOff>
    </xdr:from>
    <xdr:to>
      <xdr:col>9</xdr:col>
      <xdr:colOff>304375</xdr:colOff>
      <xdr:row>41</xdr:row>
      <xdr:rowOff>14654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EF81F43A-A481-428F-9E16-4D87F9D36E00}"/>
            </a:ext>
          </a:extLst>
        </xdr:cNvPr>
        <xdr:cNvCxnSpPr>
          <a:stCxn id="39" idx="4"/>
          <a:endCxn id="166" idx="0"/>
        </xdr:cNvCxnSpPr>
      </xdr:nvCxnSpPr>
      <xdr:spPr>
        <a:xfrm flipH="1">
          <a:off x="3257125" y="5984049"/>
          <a:ext cx="21981" cy="36839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275067</xdr:colOff>
      <xdr:row>41</xdr:row>
      <xdr:rowOff>129837</xdr:rowOff>
    </xdr:from>
    <xdr:to>
      <xdr:col>9</xdr:col>
      <xdr:colOff>282394</xdr:colOff>
      <xdr:row>45</xdr:row>
      <xdr:rowOff>117231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D27E69EC-725F-4CD4-8129-78D42540EF34}"/>
            </a:ext>
          </a:extLst>
        </xdr:cNvPr>
        <xdr:cNvCxnSpPr>
          <a:stCxn id="166" idx="4"/>
          <a:endCxn id="176" idx="0"/>
        </xdr:cNvCxnSpPr>
      </xdr:nvCxnSpPr>
      <xdr:spPr>
        <a:xfrm flipH="1">
          <a:off x="3249798" y="6467625"/>
          <a:ext cx="7327" cy="602856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275067</xdr:colOff>
      <xdr:row>46</xdr:row>
      <xdr:rowOff>78549</xdr:rowOff>
    </xdr:from>
    <xdr:to>
      <xdr:col>9</xdr:col>
      <xdr:colOff>285750</xdr:colOff>
      <xdr:row>47</xdr:row>
      <xdr:rowOff>146538</xdr:rowOff>
    </xdr:to>
    <xdr:cxnSp macro="">
      <xdr:nvCxnSpPr>
        <xdr:cNvPr id="194" name="Straight Arrow Connector 193">
          <a:extLst>
            <a:ext uri="{FF2B5EF4-FFF2-40B4-BE49-F238E27FC236}">
              <a16:creationId xmlns:a16="http://schemas.microsoft.com/office/drawing/2014/main" id="{0380A85B-4363-490C-9F81-168B538B9EDB}"/>
            </a:ext>
          </a:extLst>
        </xdr:cNvPr>
        <xdr:cNvCxnSpPr>
          <a:stCxn id="176" idx="4"/>
        </xdr:cNvCxnSpPr>
      </xdr:nvCxnSpPr>
      <xdr:spPr>
        <a:xfrm>
          <a:off x="3249798" y="7185664"/>
          <a:ext cx="10683" cy="22185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206023</xdr:colOff>
      <xdr:row>39</xdr:row>
      <xdr:rowOff>6458</xdr:rowOff>
    </xdr:from>
    <xdr:to>
      <xdr:col>10</xdr:col>
      <xdr:colOff>28436</xdr:colOff>
      <xdr:row>41</xdr:row>
      <xdr:rowOff>50420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63C5E44-2D36-4104-AE06-CBB132D84F04}"/>
            </a:ext>
          </a:extLst>
        </xdr:cNvPr>
        <xdr:cNvSpPr txBox="1"/>
      </xdr:nvSpPr>
      <xdr:spPr>
        <a:xfrm rot="5400000">
          <a:off x="3106615" y="6110655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190500</xdr:colOff>
      <xdr:row>42</xdr:row>
      <xdr:rowOff>109905</xdr:rowOff>
    </xdr:from>
    <xdr:to>
      <xdr:col>10</xdr:col>
      <xdr:colOff>12913</xdr:colOff>
      <xdr:row>45</xdr:row>
      <xdr:rowOff>1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38E93AA-FE5F-4D62-86D7-149E84CC9915}"/>
            </a:ext>
          </a:extLst>
        </xdr:cNvPr>
        <xdr:cNvSpPr txBox="1"/>
      </xdr:nvSpPr>
      <xdr:spPr>
        <a:xfrm rot="5400000">
          <a:off x="3091092" y="6675698"/>
          <a:ext cx="351692" cy="203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 editAs="oneCell">
    <xdr:from>
      <xdr:col>6</xdr:col>
      <xdr:colOff>160276</xdr:colOff>
      <xdr:row>46</xdr:row>
      <xdr:rowOff>74187</xdr:rowOff>
    </xdr:from>
    <xdr:to>
      <xdr:col>7</xdr:col>
      <xdr:colOff>372757</xdr:colOff>
      <xdr:row>49</xdr:row>
      <xdr:rowOff>133730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6FA46243-0A37-4A9D-9C58-FA19460F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1000" l="10000" r="91222">
                      <a14:foregroundMark x1="37000" y1="18750" x2="38000" y2="40375"/>
                      <a14:foregroundMark x1="43111" y1="14000" x2="43222" y2="33500"/>
                      <a14:foregroundMark x1="48556" y1="10000" x2="49222" y2="35000"/>
                      <a14:foregroundMark x1="37333" y1="16250" x2="37222" y2="24000"/>
                      <a14:foregroundMark x1="52222" y1="91000" x2="56000" y2="91000"/>
                      <a14:foregroundMark x1="91222" y1="69625" x2="89556" y2="69250"/>
                      <a14:foregroundMark x1="77000" y1="61375" x2="69444" y2="57750"/>
                      <a14:foregroundMark x1="57778" y1="69375" x2="53889" y2="74875"/>
                      <a14:foregroundMark x1="53889" y1="74875" x2="61889" y2="73125"/>
                      <a14:foregroundMark x1="61889" y1="73125" x2="54556" y2="72500"/>
                      <a14:foregroundMark x1="54556" y1="72500" x2="51667" y2="74625"/>
                      <a14:foregroundMark x1="77778" y1="58875" x2="77778" y2="58875"/>
                      <a14:backgroundMark x1="45778" y1="11500" x2="46333" y2="23875"/>
                      <a14:backgroundMark x1="46111" y1="25125" x2="46333" y2="27000"/>
                      <a14:backgroundMark x1="45667" y1="27250" x2="46000" y2="29125"/>
                      <a14:backgroundMark x1="45778" y1="29125" x2="45889" y2="3012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85" y="7211984"/>
          <a:ext cx="593481" cy="529840"/>
        </a:xfrm>
        <a:prstGeom prst="rect">
          <a:avLst/>
        </a:prstGeom>
      </xdr:spPr>
    </xdr:pic>
    <xdr:clientData/>
  </xdr:twoCellAnchor>
  <xdr:twoCellAnchor>
    <xdr:from>
      <xdr:col>9</xdr:col>
      <xdr:colOff>368575</xdr:colOff>
      <xdr:row>13</xdr:row>
      <xdr:rowOff>112592</xdr:rowOff>
    </xdr:from>
    <xdr:to>
      <xdr:col>10</xdr:col>
      <xdr:colOff>119062</xdr:colOff>
      <xdr:row>14</xdr:row>
      <xdr:rowOff>83344</xdr:rowOff>
    </xdr:to>
    <xdr:sp macro="" textlink="">
      <xdr:nvSpPr>
        <xdr:cNvPr id="228" name="Isosceles Triangle 227">
          <a:extLst>
            <a:ext uri="{FF2B5EF4-FFF2-40B4-BE49-F238E27FC236}">
              <a16:creationId xmlns:a16="http://schemas.microsoft.com/office/drawing/2014/main" id="{703AACD0-41A6-45BC-9C46-7B305D405707}"/>
            </a:ext>
          </a:extLst>
        </xdr:cNvPr>
        <xdr:cNvSpPr/>
      </xdr:nvSpPr>
      <xdr:spPr>
        <a:xfrm>
          <a:off x="3339184" y="2142608"/>
          <a:ext cx="131487" cy="125533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59532</xdr:colOff>
      <xdr:row>16</xdr:row>
      <xdr:rowOff>135111</xdr:rowOff>
    </xdr:from>
    <xdr:to>
      <xdr:col>11</xdr:col>
      <xdr:colOff>101204</xdr:colOff>
      <xdr:row>19</xdr:row>
      <xdr:rowOff>41671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E43F49E1-F9B7-4623-B0CA-B88A0440F23B}"/>
            </a:ext>
          </a:extLst>
        </xdr:cNvPr>
        <xdr:cNvSpPr txBox="1"/>
      </xdr:nvSpPr>
      <xdr:spPr>
        <a:xfrm>
          <a:off x="3411141" y="2629470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47625</xdr:colOff>
      <xdr:row>20</xdr:row>
      <xdr:rowOff>125016</xdr:rowOff>
    </xdr:from>
    <xdr:to>
      <xdr:col>11</xdr:col>
      <xdr:colOff>89297</xdr:colOff>
      <xdr:row>23</xdr:row>
      <xdr:rowOff>31576</xdr:rowOff>
    </xdr:to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54ABFD1D-7498-4354-B130-4FEAB4A5C371}"/>
            </a:ext>
          </a:extLst>
        </xdr:cNvPr>
        <xdr:cNvSpPr txBox="1"/>
      </xdr:nvSpPr>
      <xdr:spPr>
        <a:xfrm>
          <a:off x="3399234" y="3238500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119063</xdr:colOff>
      <xdr:row>24</xdr:row>
      <xdr:rowOff>101204</xdr:rowOff>
    </xdr:from>
    <xdr:to>
      <xdr:col>11</xdr:col>
      <xdr:colOff>160735</xdr:colOff>
      <xdr:row>27</xdr:row>
      <xdr:rowOff>7764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74394377-FA3F-497C-B4FC-1D2B4B35772D}"/>
            </a:ext>
          </a:extLst>
        </xdr:cNvPr>
        <xdr:cNvSpPr txBox="1"/>
      </xdr:nvSpPr>
      <xdr:spPr>
        <a:xfrm>
          <a:off x="3470672" y="3833813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95250</xdr:colOff>
      <xdr:row>28</xdr:row>
      <xdr:rowOff>71439</xdr:rowOff>
    </xdr:from>
    <xdr:to>
      <xdr:col>11</xdr:col>
      <xdr:colOff>136922</xdr:colOff>
      <xdr:row>30</xdr:row>
      <xdr:rowOff>144686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06172031-898B-4FB9-B42A-485BD0FEC790}"/>
            </a:ext>
          </a:extLst>
        </xdr:cNvPr>
        <xdr:cNvSpPr txBox="1"/>
      </xdr:nvSpPr>
      <xdr:spPr>
        <a:xfrm>
          <a:off x="3446859" y="4423173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125015</xdr:colOff>
      <xdr:row>32</xdr:row>
      <xdr:rowOff>47625</xdr:rowOff>
    </xdr:from>
    <xdr:to>
      <xdr:col>11</xdr:col>
      <xdr:colOff>166687</xdr:colOff>
      <xdr:row>34</xdr:row>
      <xdr:rowOff>108966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92400194-7B1E-4E42-A223-17E368BE94D3}"/>
            </a:ext>
          </a:extLst>
        </xdr:cNvPr>
        <xdr:cNvSpPr txBox="1"/>
      </xdr:nvSpPr>
      <xdr:spPr>
        <a:xfrm>
          <a:off x="3476624" y="5006578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214313</xdr:colOff>
      <xdr:row>35</xdr:row>
      <xdr:rowOff>47625</xdr:rowOff>
    </xdr:from>
    <xdr:to>
      <xdr:col>11</xdr:col>
      <xdr:colOff>255985</xdr:colOff>
      <xdr:row>37</xdr:row>
      <xdr:rowOff>103013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CB9895D6-2C07-4F15-A523-470DCC6707BE}"/>
            </a:ext>
          </a:extLst>
        </xdr:cNvPr>
        <xdr:cNvSpPr txBox="1"/>
      </xdr:nvSpPr>
      <xdr:spPr>
        <a:xfrm>
          <a:off x="3565922" y="5470922"/>
          <a:ext cx="422672" cy="37090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274785</xdr:colOff>
      <xdr:row>35</xdr:row>
      <xdr:rowOff>53749</xdr:rowOff>
    </xdr:from>
    <xdr:to>
      <xdr:col>11</xdr:col>
      <xdr:colOff>230724</xdr:colOff>
      <xdr:row>37</xdr:row>
      <xdr:rowOff>40125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002808E2-830E-4AC5-BC74-634F0A1DC987}"/>
            </a:ext>
          </a:extLst>
        </xdr:cNvPr>
        <xdr:cNvGrpSpPr/>
      </xdr:nvGrpSpPr>
      <xdr:grpSpPr>
        <a:xfrm rot="4753240" flipH="1">
          <a:off x="3643918" y="5459522"/>
          <a:ext cx="301892" cy="336939"/>
          <a:chOff x="5868865" y="2996712"/>
          <a:chExt cx="293077" cy="254977"/>
        </a:xfrm>
      </xdr:grpSpPr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4ED7D1A2-B032-E379-C38B-90D93C430D9E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50427D5A-BD51-E837-ECE1-4EA1B6195B5B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200967</xdr:colOff>
      <xdr:row>32</xdr:row>
      <xdr:rowOff>81133</xdr:rowOff>
    </xdr:from>
    <xdr:to>
      <xdr:col>11</xdr:col>
      <xdr:colOff>156906</xdr:colOff>
      <xdr:row>34</xdr:row>
      <xdr:rowOff>73462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E7A9AA8E-DE71-42AF-A90D-2901EC730914}"/>
            </a:ext>
          </a:extLst>
        </xdr:cNvPr>
        <xdr:cNvGrpSpPr/>
      </xdr:nvGrpSpPr>
      <xdr:grpSpPr>
        <a:xfrm rot="4753240" flipH="1">
          <a:off x="3570100" y="5022562"/>
          <a:ext cx="301892" cy="336939"/>
          <a:chOff x="5868865" y="2996712"/>
          <a:chExt cx="293077" cy="254977"/>
        </a:xfrm>
      </xdr:grpSpPr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49885C0E-82C1-0E0B-FB5A-953C19A4319B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2480F86B-E917-9BAF-6150-D258DE492B46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139054</xdr:colOff>
      <xdr:row>28</xdr:row>
      <xdr:rowOff>120424</xdr:rowOff>
    </xdr:from>
    <xdr:to>
      <xdr:col>11</xdr:col>
      <xdr:colOff>94993</xdr:colOff>
      <xdr:row>30</xdr:row>
      <xdr:rowOff>124659</xdr:rowOff>
    </xdr:to>
    <xdr:grpSp>
      <xdr:nvGrpSpPr>
        <xdr:cNvPr id="241" name="Group 240">
          <a:extLst>
            <a:ext uri="{FF2B5EF4-FFF2-40B4-BE49-F238E27FC236}">
              <a16:creationId xmlns:a16="http://schemas.microsoft.com/office/drawing/2014/main" id="{73FBAAA4-0B72-4605-B8E4-FA61C7CBAA2D}"/>
            </a:ext>
          </a:extLst>
        </xdr:cNvPr>
        <xdr:cNvGrpSpPr/>
      </xdr:nvGrpSpPr>
      <xdr:grpSpPr>
        <a:xfrm rot="4753240" flipH="1">
          <a:off x="3508187" y="4454634"/>
          <a:ext cx="301892" cy="336939"/>
          <a:chOff x="5868865" y="2996712"/>
          <a:chExt cx="293077" cy="254977"/>
        </a:xfrm>
      </xdr:grpSpPr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4B0A7597-2177-032E-6108-7BC5D5F6D76B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A0FD64CF-89B5-8F8C-F88C-0C1CA3FC23CA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154532</xdr:colOff>
      <xdr:row>24</xdr:row>
      <xdr:rowOff>100183</xdr:rowOff>
    </xdr:from>
    <xdr:to>
      <xdr:col>11</xdr:col>
      <xdr:colOff>110471</xdr:colOff>
      <xdr:row>26</xdr:row>
      <xdr:rowOff>92512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86C86CD8-9F3C-417C-A301-EB04435F1BB8}"/>
            </a:ext>
          </a:extLst>
        </xdr:cNvPr>
        <xdr:cNvGrpSpPr/>
      </xdr:nvGrpSpPr>
      <xdr:grpSpPr>
        <a:xfrm rot="4753240" flipH="1">
          <a:off x="3523665" y="3815268"/>
          <a:ext cx="301892" cy="336939"/>
          <a:chOff x="5868865" y="2996712"/>
          <a:chExt cx="293077" cy="254977"/>
        </a:xfrm>
      </xdr:grpSpPr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12AF83B6-80F7-8A70-EFB1-B7ED1DA39C09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C1F376D5-D2D3-3F0F-ECA7-7F99B2AED800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116431</xdr:colOff>
      <xdr:row>21</xdr:row>
      <xdr:rowOff>2550</xdr:rowOff>
    </xdr:from>
    <xdr:to>
      <xdr:col>11</xdr:col>
      <xdr:colOff>72370</xdr:colOff>
      <xdr:row>22</xdr:row>
      <xdr:rowOff>149661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F3151B4F-BA47-4CEE-9E72-D19A8A017CA1}"/>
            </a:ext>
          </a:extLst>
        </xdr:cNvPr>
        <xdr:cNvGrpSpPr/>
      </xdr:nvGrpSpPr>
      <xdr:grpSpPr>
        <a:xfrm rot="4753240" flipH="1">
          <a:off x="3485564" y="3253292"/>
          <a:ext cx="301892" cy="336939"/>
          <a:chOff x="5868865" y="2996712"/>
          <a:chExt cx="293077" cy="25497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4B3F2144-AAB6-53EF-8E14-64205DC04AB7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C3FD139A-5F8D-7F9F-8C72-D403D389BE6C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90237</xdr:colOff>
      <xdr:row>17</xdr:row>
      <xdr:rowOff>29934</xdr:rowOff>
    </xdr:from>
    <xdr:to>
      <xdr:col>11</xdr:col>
      <xdr:colOff>46176</xdr:colOff>
      <xdr:row>19</xdr:row>
      <xdr:rowOff>22264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5C48E1B3-07DD-4AF0-9B42-2443E0E79A91}"/>
            </a:ext>
          </a:extLst>
        </xdr:cNvPr>
        <xdr:cNvGrpSpPr/>
      </xdr:nvGrpSpPr>
      <xdr:grpSpPr>
        <a:xfrm rot="4753240" flipH="1">
          <a:off x="3459370" y="2661551"/>
          <a:ext cx="301892" cy="336939"/>
          <a:chOff x="5868865" y="2996712"/>
          <a:chExt cx="293077" cy="254977"/>
        </a:xfrm>
      </xdr:grpSpPr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24E3BB2D-6B5D-5046-4510-D3A4613219C4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EF9F8A62-945B-7B31-496D-C591AAD3417B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190500</xdr:colOff>
      <xdr:row>43</xdr:row>
      <xdr:rowOff>7327</xdr:rowOff>
    </xdr:from>
    <xdr:to>
      <xdr:col>12</xdr:col>
      <xdr:colOff>153865</xdr:colOff>
      <xdr:row>44</xdr:row>
      <xdr:rowOff>1568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0C333DE8-14B8-4A7E-B354-00CE15C64E40}"/>
            </a:ext>
          </a:extLst>
        </xdr:cNvPr>
        <xdr:cNvSpPr txBox="1"/>
      </xdr:nvSpPr>
      <xdr:spPr>
        <a:xfrm>
          <a:off x="3165231" y="6652846"/>
          <a:ext cx="1106365" cy="1481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JARINGAN SUTTT</a:t>
          </a:r>
          <a:endParaRPr lang="en-US" sz="200" b="1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107157</xdr:colOff>
      <xdr:row>37</xdr:row>
      <xdr:rowOff>113109</xdr:rowOff>
    </xdr:from>
    <xdr:to>
      <xdr:col>9</xdr:col>
      <xdr:colOff>238644</xdr:colOff>
      <xdr:row>38</xdr:row>
      <xdr:rowOff>77908</xdr:rowOff>
    </xdr:to>
    <xdr:sp macro="" textlink="">
      <xdr:nvSpPr>
        <xdr:cNvPr id="26" name="Isosceles Triangle 25">
          <a:extLst>
            <a:ext uri="{FF2B5EF4-FFF2-40B4-BE49-F238E27FC236}">
              <a16:creationId xmlns:a16="http://schemas.microsoft.com/office/drawing/2014/main" id="{F50F7ED5-9D67-4963-8843-1B25D0F1CB0E}"/>
            </a:ext>
          </a:extLst>
        </xdr:cNvPr>
        <xdr:cNvSpPr/>
      </xdr:nvSpPr>
      <xdr:spPr>
        <a:xfrm>
          <a:off x="3077766" y="5851922"/>
          <a:ext cx="131487" cy="12553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359958</xdr:colOff>
      <xdr:row>13</xdr:row>
      <xdr:rowOff>126762</xdr:rowOff>
    </xdr:from>
    <xdr:to>
      <xdr:col>10</xdr:col>
      <xdr:colOff>180329</xdr:colOff>
      <xdr:row>15</xdr:row>
      <xdr:rowOff>8615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FACED8E5-2923-498F-9C52-E92C276A90AB}"/>
            </a:ext>
          </a:extLst>
        </xdr:cNvPr>
        <xdr:cNvGrpSpPr/>
      </xdr:nvGrpSpPr>
      <xdr:grpSpPr>
        <a:xfrm rot="4753240" flipH="1">
          <a:off x="3335545" y="2151800"/>
          <a:ext cx="191415" cy="201371"/>
          <a:chOff x="5868865" y="2996712"/>
          <a:chExt cx="293077" cy="254977"/>
        </a:xfrm>
      </xdr:grpSpPr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29ABF318-38FF-0957-76D3-C0BD9D3E1A10}"/>
              </a:ext>
            </a:extLst>
          </xdr:cNvPr>
          <xdr:cNvCxnSpPr/>
        </xdr:nvCxnSpPr>
        <xdr:spPr>
          <a:xfrm>
            <a:off x="5868865" y="3048000"/>
            <a:ext cx="293077" cy="161192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ECB01A0B-108C-BE38-607E-656922FAD801}"/>
              </a:ext>
            </a:extLst>
          </xdr:cNvPr>
          <xdr:cNvCxnSpPr/>
        </xdr:nvCxnSpPr>
        <xdr:spPr>
          <a:xfrm flipV="1">
            <a:off x="5918688" y="2996712"/>
            <a:ext cx="169985" cy="25497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101203</xdr:colOff>
      <xdr:row>33</xdr:row>
      <xdr:rowOff>142876</xdr:rowOff>
    </xdr:from>
    <xdr:to>
      <xdr:col>9</xdr:col>
      <xdr:colOff>232690</xdr:colOff>
      <xdr:row>34</xdr:row>
      <xdr:rowOff>113627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53772E96-5465-41F6-B844-F7A03396FEE9}"/>
            </a:ext>
          </a:extLst>
        </xdr:cNvPr>
        <xdr:cNvSpPr/>
      </xdr:nvSpPr>
      <xdr:spPr>
        <a:xfrm>
          <a:off x="3071812" y="5256610"/>
          <a:ext cx="131487" cy="12553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375047</xdr:colOff>
      <xdr:row>41</xdr:row>
      <xdr:rowOff>17859</xdr:rowOff>
    </xdr:from>
    <xdr:to>
      <xdr:col>11</xdr:col>
      <xdr:colOff>35719</xdr:colOff>
      <xdr:row>43</xdr:row>
      <xdr:rowOff>79201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423D3911-A130-460B-9C43-03EB0A620889}"/>
            </a:ext>
          </a:extLst>
        </xdr:cNvPr>
        <xdr:cNvSpPr txBox="1"/>
      </xdr:nvSpPr>
      <xdr:spPr>
        <a:xfrm>
          <a:off x="3345656" y="6381750"/>
          <a:ext cx="422672" cy="3709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9</xdr:col>
      <xdr:colOff>375047</xdr:colOff>
      <xdr:row>44</xdr:row>
      <xdr:rowOff>77391</xdr:rowOff>
    </xdr:from>
    <xdr:to>
      <xdr:col>11</xdr:col>
      <xdr:colOff>89297</xdr:colOff>
      <xdr:row>47</xdr:row>
      <xdr:rowOff>113109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932EA5C6-5E76-4030-AD84-5B6E1AAD0EB8}"/>
            </a:ext>
          </a:extLst>
        </xdr:cNvPr>
        <xdr:cNvSpPr txBox="1"/>
      </xdr:nvSpPr>
      <xdr:spPr>
        <a:xfrm>
          <a:off x="3345656" y="6905625"/>
          <a:ext cx="476250" cy="50006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9</xdr:col>
      <xdr:colOff>154782</xdr:colOff>
      <xdr:row>38</xdr:row>
      <xdr:rowOff>91056</xdr:rowOff>
    </xdr:from>
    <xdr:to>
      <xdr:col>9</xdr:col>
      <xdr:colOff>265301</xdr:colOff>
      <xdr:row>39</xdr:row>
      <xdr:rowOff>53578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36FA516-38EB-4197-9FF6-CC5B974D64CE}"/>
            </a:ext>
          </a:extLst>
        </xdr:cNvPr>
        <xdr:cNvCxnSpPr>
          <a:stCxn id="39" idx="3"/>
        </xdr:cNvCxnSpPr>
      </xdr:nvCxnSpPr>
      <xdr:spPr>
        <a:xfrm flipH="1">
          <a:off x="3125391" y="5990603"/>
          <a:ext cx="110519" cy="117303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125015</xdr:colOff>
      <xdr:row>50</xdr:row>
      <xdr:rowOff>226218</xdr:rowOff>
    </xdr:from>
    <xdr:to>
      <xdr:col>27</xdr:col>
      <xdr:colOff>201215</xdr:colOff>
      <xdr:row>52</xdr:row>
      <xdr:rowOff>65401</xdr:rowOff>
    </xdr:to>
    <xdr:sp macro="" textlink="">
      <xdr:nvSpPr>
        <xdr:cNvPr id="300" name="Freeform: Shape 299">
          <a:extLst>
            <a:ext uri="{FF2B5EF4-FFF2-40B4-BE49-F238E27FC236}">
              <a16:creationId xmlns:a16="http://schemas.microsoft.com/office/drawing/2014/main" id="{1E3D41BF-78EE-4439-B867-B40BFFCAEA6D}"/>
            </a:ext>
          </a:extLst>
        </xdr:cNvPr>
        <xdr:cNvSpPr/>
      </xdr:nvSpPr>
      <xdr:spPr>
        <a:xfrm>
          <a:off x="10048874" y="7989093"/>
          <a:ext cx="76200" cy="2439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327422</xdr:colOff>
      <xdr:row>51</xdr:row>
      <xdr:rowOff>130969</xdr:rowOff>
    </xdr:from>
    <xdr:to>
      <xdr:col>28</xdr:col>
      <xdr:colOff>3572</xdr:colOff>
      <xdr:row>53</xdr:row>
      <xdr:rowOff>2246</xdr:rowOff>
    </xdr:to>
    <xdr:sp macro="" textlink="">
      <xdr:nvSpPr>
        <xdr:cNvPr id="318" name="Freeform: Shape 317">
          <a:extLst>
            <a:ext uri="{FF2B5EF4-FFF2-40B4-BE49-F238E27FC236}">
              <a16:creationId xmlns:a16="http://schemas.microsoft.com/office/drawing/2014/main" id="{125916F8-9F73-4035-9320-12F8D235DE30}"/>
            </a:ext>
          </a:extLst>
        </xdr:cNvPr>
        <xdr:cNvSpPr/>
      </xdr:nvSpPr>
      <xdr:spPr>
        <a:xfrm>
          <a:off x="10251281" y="8143875"/>
          <a:ext cx="57150" cy="180840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8</xdr:col>
      <xdr:colOff>554182</xdr:colOff>
      <xdr:row>9</xdr:row>
      <xdr:rowOff>86592</xdr:rowOff>
    </xdr:from>
    <xdr:to>
      <xdr:col>21</xdr:col>
      <xdr:colOff>744682</xdr:colOff>
      <xdr:row>65</xdr:row>
      <xdr:rowOff>99753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109CA-F6C4-4B75-85FE-6DDB6B6F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7091" y="1454728"/>
          <a:ext cx="8070273" cy="8741525"/>
        </a:xfrm>
        <a:prstGeom prst="rect">
          <a:avLst/>
        </a:prstGeom>
      </xdr:spPr>
    </xdr:pic>
    <xdr:clientData/>
  </xdr:twoCellAnchor>
  <xdr:twoCellAnchor>
    <xdr:from>
      <xdr:col>10</xdr:col>
      <xdr:colOff>484909</xdr:colOff>
      <xdr:row>41</xdr:row>
      <xdr:rowOff>0</xdr:rowOff>
    </xdr:from>
    <xdr:to>
      <xdr:col>10</xdr:col>
      <xdr:colOff>502227</xdr:colOff>
      <xdr:row>50</xdr:row>
      <xdr:rowOff>103910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C1479FC6-CF92-45B8-A252-D09468808FB2}"/>
            </a:ext>
          </a:extLst>
        </xdr:cNvPr>
        <xdr:cNvCxnSpPr/>
      </xdr:nvCxnSpPr>
      <xdr:spPr>
        <a:xfrm flipV="1">
          <a:off x="5230091" y="6355773"/>
          <a:ext cx="17318" cy="150668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207818</xdr:colOff>
      <xdr:row>39</xdr:row>
      <xdr:rowOff>17319</xdr:rowOff>
    </xdr:from>
    <xdr:to>
      <xdr:col>11</xdr:col>
      <xdr:colOff>259773</xdr:colOff>
      <xdr:row>41</xdr:row>
      <xdr:rowOff>86591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C0768C8-CB59-4F8C-944F-96306953BA54}"/>
            </a:ext>
          </a:extLst>
        </xdr:cNvPr>
        <xdr:cNvSpPr/>
      </xdr:nvSpPr>
      <xdr:spPr>
        <a:xfrm>
          <a:off x="4953000" y="6061364"/>
          <a:ext cx="658091" cy="38100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3</xdr:col>
      <xdr:colOff>467591</xdr:colOff>
      <xdr:row>7</xdr:row>
      <xdr:rowOff>29442</xdr:rowOff>
    </xdr:from>
    <xdr:to>
      <xdr:col>18</xdr:col>
      <xdr:colOff>467591</xdr:colOff>
      <xdr:row>51</xdr:row>
      <xdr:rowOff>130243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ABDCCC-AF2D-333A-7F11-8AE1AE29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7716" y="1305792"/>
          <a:ext cx="9144000" cy="7225501"/>
        </a:xfrm>
        <a:prstGeom prst="rect">
          <a:avLst/>
        </a:prstGeom>
      </xdr:spPr>
    </xdr:pic>
    <xdr:clientData/>
  </xdr:twoCellAnchor>
  <xdr:twoCellAnchor>
    <xdr:from>
      <xdr:col>11</xdr:col>
      <xdr:colOff>577032</xdr:colOff>
      <xdr:row>36</xdr:row>
      <xdr:rowOff>136516</xdr:rowOff>
    </xdr:from>
    <xdr:to>
      <xdr:col>13</xdr:col>
      <xdr:colOff>288930</xdr:colOff>
      <xdr:row>44</xdr:row>
      <xdr:rowOff>128809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BA54CB2-BB0F-3719-4D10-7F8F81C891E8}"/>
            </a:ext>
          </a:extLst>
        </xdr:cNvPr>
        <xdr:cNvSpPr/>
      </xdr:nvSpPr>
      <xdr:spPr>
        <a:xfrm rot="20506875">
          <a:off x="6453957" y="6108691"/>
          <a:ext cx="931098" cy="1287693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BATCHING PLAN</a:t>
          </a:r>
        </a:p>
      </xdr:txBody>
    </xdr:sp>
    <xdr:clientData/>
  </xdr:twoCellAnchor>
  <xdr:twoCellAnchor>
    <xdr:from>
      <xdr:col>15</xdr:col>
      <xdr:colOff>89503</xdr:colOff>
      <xdr:row>32</xdr:row>
      <xdr:rowOff>138644</xdr:rowOff>
    </xdr:from>
    <xdr:to>
      <xdr:col>15</xdr:col>
      <xdr:colOff>532641</xdr:colOff>
      <xdr:row>34</xdr:row>
      <xdr:rowOff>134435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E82D786-5318-4D4D-8894-FB4F2D3177CE}"/>
            </a:ext>
          </a:extLst>
        </xdr:cNvPr>
        <xdr:cNvSpPr/>
      </xdr:nvSpPr>
      <xdr:spPr>
        <a:xfrm rot="20506875">
          <a:off x="8404828" y="5463119"/>
          <a:ext cx="443138" cy="319641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500" b="1">
              <a:solidFill>
                <a:schemeClr val="tx1"/>
              </a:solidFill>
            </a:rPr>
            <a:t>POMPA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ariyanto.kaelan.JATENG\Local%20Settings\Temporary%20Internet%20Files\OLKF1\LM-PLN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-R"/>
      <sheetName val="Rekapitulasi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3" t="s">
        <v>1134</v>
      </c>
      <c r="C4" s="543"/>
      <c r="D4" s="543"/>
      <c r="E4" s="543"/>
      <c r="F4" s="543"/>
      <c r="G4" s="543"/>
      <c r="H4" s="54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4" t="s">
        <v>0</v>
      </c>
      <c r="C7" s="544" t="s">
        <v>1</v>
      </c>
      <c r="D7" s="545" t="s">
        <v>42</v>
      </c>
      <c r="E7" s="545" t="s">
        <v>43</v>
      </c>
      <c r="F7" s="545" t="s">
        <v>1135</v>
      </c>
      <c r="G7" s="546" t="s">
        <v>41</v>
      </c>
      <c r="H7" s="542" t="s">
        <v>1042</v>
      </c>
      <c r="I7" s="542" t="s">
        <v>1137</v>
      </c>
      <c r="J7" s="542" t="s">
        <v>1026</v>
      </c>
      <c r="K7" s="536" t="s">
        <v>1024</v>
      </c>
      <c r="L7" s="537"/>
    </row>
    <row r="8" spans="1:12" ht="15" customHeight="1">
      <c r="B8" s="544"/>
      <c r="C8" s="544"/>
      <c r="D8" s="545"/>
      <c r="E8" s="545"/>
      <c r="F8" s="545"/>
      <c r="G8" s="546"/>
      <c r="H8" s="542"/>
      <c r="I8" s="542"/>
      <c r="J8" s="542"/>
      <c r="K8" s="538"/>
      <c r="L8" s="539"/>
    </row>
    <row r="9" spans="1:12" ht="15" customHeight="1">
      <c r="B9" s="544"/>
      <c r="C9" s="544"/>
      <c r="D9" s="545"/>
      <c r="E9" s="545"/>
      <c r="F9" s="545"/>
      <c r="G9" s="546"/>
      <c r="H9" s="542"/>
      <c r="I9" s="542"/>
      <c r="J9" s="542"/>
      <c r="K9" s="540"/>
      <c r="L9" s="54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21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1269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20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63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SUMIFS(RAB!$F$14:$F$233,RAB!$C$14:$C$233,C714)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SUMIFS(RAB!$F$14:$F$233,RAB!$C$14:$C$233,C715)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SUMIFS(RAB!$F$14:$F$233,RAB!$C$14:$C$233,C716)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SUMIFS(RAB!$F$14:$F$233,RAB!$C$14:$C$233,C717)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SUMIFS(RAB!$F$14:$F$233,RAB!$C$14:$C$233,C718)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SUMIFS(RAB!$F$14:$F$233,RAB!$C$14:$C$233,C719)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SUMIFS(RAB!$F$14:$F$233,RAB!$C$14:$C$233,C720)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SUMIFS(RAB!$F$14:$F$233,RAB!$C$14:$C$233,C721)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SUMIFS(RAB!$F$14:$F$233,RAB!$C$14:$C$233,C722)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SUMIFS(RAB!$F$14:$F$233,RAB!$C$14:$C$233,C723)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SUMIFS(RAB!$F$14:$F$233,RAB!$C$14:$C$233,C724)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SUMIFS(RAB!$F$14:$F$233,RAB!$C$14:$C$233,C725)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SUMIFS(RAB!$F$14:$F$233,RAB!$C$14:$C$233,C726)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SUMIFS(RAB!$F$14:$F$233,RAB!$C$14:$C$233,C727)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SUMIFS(RAB!$F$14:$F$233,RAB!$C$14:$C$233,C728)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SUMIFS(RAB!$F$14:$F$233,RAB!$C$14:$C$233,C729)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SUMIFS(RAB!$F$14:$F$233,RAB!$C$14:$C$233,C730)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SUMIFS(RAB!$F$14:$F$233,RAB!$C$14:$C$233,C731)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SUMIFS(RAB!$F$14:$F$233,RAB!$C$14:$C$233,C732)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SUMIFS(RAB!$F$14:$F$233,RAB!$C$14:$C$233,C733)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SUMIFS(RAB!$F$14:$F$233,RAB!$C$14:$C$233,C734)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SUMIFS(RAB!$F$14:$F$233,RAB!$C$14:$C$233,C735)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SUMIFS(RAB!$F$14:$F$233,RAB!$C$14:$C$233,C736)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SUMIFS(RAB!$F$14:$F$233,RAB!$C$14:$C$233,C737)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SUMIFS(RAB!$F$14:$F$233,RAB!$C$14:$C$233,C738)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SUMIFS(RAB!$F$14:$F$233,RAB!$C$14:$C$233,C739)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SUMIFS(RAB!$F$14:$F$233,RAB!$C$14:$C$233,C740)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SUMIFS(RAB!$F$14:$F$233,RAB!$C$14:$C$233,C741)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SUMIFS(RAB!$F$14:$F$233,RAB!$C$14:$C$233,C742)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SUMIFS(RAB!$F$14:$F$233,RAB!$C$14:$C$233,C743)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SUMIFS(RAB!$F$14:$F$233,RAB!$C$14:$C$233,C744)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SUMIFS(RAB!$F$14:$F$233,RAB!$C$14:$C$233,C745)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SUMIFS(RAB!$F$14:$F$233,RAB!$C$14:$C$233,C746)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SUMIFS(RAB!$F$14:$F$233,RAB!$C$14:$C$233,C747)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SUMIFS(RAB!$F$14:$F$233,RAB!$C$14:$C$233,C748)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SUMIFS(RAB!$F$14:$F$233,RAB!$C$14:$C$233,C749)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SUMIFS(RAB!$F$14:$F$233,RAB!$C$14:$C$233,C750)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SUMIFS(RAB!$F$14:$F$233,RAB!$C$14:$C$233,C751)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SUMIFS(RAB!$F$14:$F$233,RAB!$C$14:$C$233,C752)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SUMIFS(RAB!$F$14:$F$233,RAB!$C$14:$C$233,C753)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SUMIFS(RAB!$F$14:$F$233,RAB!$C$14:$C$233,C754)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SUMIFS(RAB!$F$14:$F$233,RAB!$C$14:$C$233,C755)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SUMIFS(RAB!$F$14:$F$233,RAB!$C$14:$C$233,C756)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SUMIFS(RAB!$F$14:$F$233,RAB!$C$14:$C$233,C757)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SUMIFS(RAB!$F$14:$F$233,RAB!$C$14:$C$233,C758)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SUMIFS(RAB!$F$14:$F$233,RAB!$C$14:$C$233,C759)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SUMIFS(RAB!$F$14:$F$233,RAB!$C$14:$C$233,C760)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SUMIFS(RAB!$F$14:$F$233,RAB!$C$14:$C$233,C761)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SUMIFS(RAB!$F$14:$F$233,RAB!$C$14:$C$233,C762)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SUMIFS(RAB!$F$14:$F$233,RAB!$C$14:$C$233,C763)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SUMIFS(RAB!$F$14:$F$233,RAB!$C$14:$C$233,C764)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SUMIFS(RAB!$F$14:$F$233,RAB!$C$14:$C$233,C765)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SUMIFS(RAB!$F$14:$F$233,RAB!$C$14:$C$233,C766)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SUMIFS(RAB!$F$14:$F$233,RAB!$C$14:$C$233,C767)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SUMIFS(RAB!$F$14:$F$233,RAB!$C$14:$C$233,C768)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SUMIFS(RAB!$F$14:$F$233,RAB!$C$14:$C$233,C769)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SUMIFS(RAB!$F$14:$F$233,RAB!$C$14:$C$233,C770)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SUMIFS(RAB!$F$14:$F$233,RAB!$C$14:$C$233,C771)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SUMIFS(RAB!$F$14:$F$233,RAB!$C$14:$C$233,C772)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SUMIFS(RAB!$F$14:$F$233,RAB!$C$14:$C$233,C773)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SUMIFS(RAB!$F$14:$F$233,RAB!$C$14:$C$233,C774)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SUMIFS(RAB!$F$14:$F$233,RAB!$C$14:$C$233,C775)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SUMIFS(RAB!$F$14:$F$233,RAB!$C$14:$C$233,C776)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SUMIFS(RAB!$F$14:$F$233,RAB!$C$14:$C$233,C777)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SUMIFS(RAB!$F$14:$F$233,RAB!$C$14:$C$233,C778)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SUMIFS(RAB!$F$14:$F$233,RAB!$C$14:$C$233,C779)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SUMIFS(RAB!$F$14:$F$233,RAB!$C$14:$C$233,C780)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SUMIFS(RAB!$F$14:$F$233,RAB!$C$14:$C$233,C781)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SUMIFS(RAB!$F$14:$F$233,RAB!$C$14:$C$233,C782)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SUMIFS(RAB!$F$14:$F$233,RAB!$C$14:$C$233,C783)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SUMIFS(RAB!$F$14:$F$233,RAB!$C$14:$C$233,C784)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SUMIFS(RAB!$F$14:$F$233,RAB!$C$14:$C$233,C785)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SUMIFS(RAB!$F$14:$F$233,RAB!$C$14:$C$233,C786)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SUMIFS(RAB!$F$14:$F$233,RAB!$C$14:$C$233,C787)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SUMIFS(RAB!$F$14:$F$233,RAB!$C$14:$C$233,C788)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SUMIFS(RAB!$F$14:$F$233,RAB!$C$14:$C$233,C789)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SUMIFS(RAB!$F$14:$F$233,RAB!$C$14:$C$233,C790)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SUMIFS(RAB!$F$14:$F$233,RAB!$C$14:$C$233,C791)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SUMIFS(RAB!$F$14:$F$233,RAB!$C$14:$C$233,C792)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SUMIFS(RAB!$F$14:$F$233,RAB!$C$14:$C$233,C793)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SUMIFS(RAB!$F$14:$F$233,RAB!$C$14:$C$233,C794)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SUMIFS(RAB!$F$14:$F$233,RAB!$C$14:$C$233,C795)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SUMIFS(RAB!$F$14:$F$233,RAB!$C$14:$C$233,C796)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SUMIFS(RAB!$F$14:$F$233,RAB!$C$14:$C$233,C797)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SUMIFS(RAB!$F$14:$F$233,RAB!$C$14:$C$233,C798)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SUMIFS(RAB!$F$14:$F$233,RAB!$C$14:$C$233,C799)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SUMIFS(RAB!$F$14:$F$233,RAB!$C$14:$C$233,C800)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SUMIFS(RAB!$F$14:$F$233,RAB!$C$14:$C$233,C801)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SUMIFS(RAB!$F$14:$F$233,RAB!$C$14:$C$233,C802)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SUMIFS(RAB!$F$14:$F$233,RAB!$C$14:$C$233,C803)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SUMIFS(RAB!$F$14:$F$233,RAB!$C$14:$C$233,C804)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SUMIFS(RAB!$F$14:$F$233,RAB!$C$14:$C$233,C805)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SUMIFS(RAB!$F$14:$F$233,RAB!$C$14:$C$233,C806)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SUMIFS(RAB!$F$14:$F$233,RAB!$C$14:$C$233,C807)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SUMIFS(RAB!$F$14:$F$233,RAB!$C$14:$C$233,C808)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SUMIFS(RAB!$F$14:$F$233,RAB!$C$14:$C$233,C809)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SUMIFS(RAB!$F$14:$F$233,RAB!$C$14:$C$233,C810)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SUMIFS(RAB!$F$14:$F$233,RAB!$C$14:$C$233,C811)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SUMIFS(RAB!$F$14:$F$233,RAB!$C$14:$C$233,C812)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SUMIFS(RAB!$F$14:$F$233,RAB!$C$14:$C$233,C813)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SUMIFS(RAB!$F$14:$F$233,RAB!$C$14:$C$233,C814)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SUMIFS(RAB!$F$14:$F$233,RAB!$C$14:$C$233,C815)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SUMIFS(RAB!$F$14:$F$233,RAB!$C$14:$C$233,C816)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SUMIFS(RAB!$F$14:$F$233,RAB!$C$14:$C$233,C817)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SUMIFS(RAB!$F$14:$F$233,RAB!$C$14:$C$233,C818)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SUMIFS(RAB!$F$14:$F$233,RAB!$C$14:$C$233,C819)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SUMIFS(RAB!$F$14:$F$233,RAB!$C$14:$C$233,C820)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SUMIFS(RAB!$F$14:$F$233,RAB!$C$14:$C$233,C821)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SUMIFS(RAB!$F$14:$F$233,RAB!$C$14:$C$233,C822)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SUMIFS(RAB!$F$14:$F$233,RAB!$C$14:$C$233,C823)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SUMIFS(RAB!$F$14:$F$233,RAB!$C$14:$C$233,C824)</f>
        <v>21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SUMIFS(RAB!$F$14:$F$233,RAB!$C$14:$C$233,C825)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SUMIFS(RAB!$F$14:$F$233,RAB!$C$14:$C$233,C826)</f>
        <v>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SUMIFS(RAB!$F$14:$F$233,RAB!$C$14:$C$233,C827)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SUMIFS(RAB!$F$14:$F$233,RAB!$C$14:$C$233,C828)</f>
        <v>1269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SUMIFS(RAB!$F$14:$F$233,RAB!$C$14:$C$233,C829)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SUMIFS(RAB!$F$14:$F$233,RAB!$C$14:$C$233,C830)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SUMIFS(RAB!$F$14:$F$233,RAB!$C$14:$C$233,C831)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SUMIFS(RAB!$F$14:$F$233,RAB!$C$14:$C$233,C832)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SUMIFS(RAB!$F$14:$F$233,RAB!$C$14:$C$233,C833)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SUMIFS(RAB!$F$14:$F$233,RAB!$C$14:$C$233,C834)</f>
        <v>20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SUMIFS(RAB!$F$14:$F$233,RAB!$C$14:$C$233,C835)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SUMIFS(RAB!$F$14:$F$233,RAB!$C$14:$C$233,C836)</f>
        <v>63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SUMIFS(RAB!$F$14:$F$233,RAB!$C$14:$C$233,C837)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SUMIFS(RAB!$F$14:$F$233,RAB!$C$14:$C$233,C838)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SUMIFS(RAB!$F$14:$F$233,RAB!$C$14:$C$233,C839)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SUMIFS(RAB!$F$14:$F$233,RAB!$C$14:$C$233,C840)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SUMIFS(RAB!$F$14:$F$233,RAB!$C$14:$C$233,C841)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SUMIFS(RAB!$F$14:$F$233,RAB!$C$14:$C$233,C842)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SUMIFS(RAB!$F$14:$F$233,RAB!$C$14:$C$233,C843)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SUMIFS(RAB!$F$14:$F$233,RAB!$C$14:$C$233,C844)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SUMIFS(RAB!$F$14:$F$233,RAB!$C$14:$C$233,C845)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SUMIFS(RAB!$F$14:$F$233,RAB!$C$14:$C$233,C846)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SUMIFS(RAB!$F$14:$F$233,RAB!$C$14:$C$233,C847)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SUMIFS(RAB!$F$14:$F$233,RAB!$C$14:$C$233,C848)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SUMIFS(RAB!$F$14:$F$233,RAB!$C$14:$C$233,C849)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SUMIFS(RAB!$F$14:$F$233,RAB!$C$14:$C$233,C850)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SUMIFS(RAB!$F$14:$F$233,RAB!$C$14:$C$233,C851)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SUMIFS(RAB!$F$14:$F$233,RAB!$C$14:$C$233,C852)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SUMIFS(RAB!$F$14:$F$233,RAB!$C$14:$C$233,C853)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SUMIFS(RAB!$F$14:$F$233,RAB!$C$14:$C$233,C854)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SUMIFS(RAB!$F$14:$F$233,RAB!$C$14:$C$233,C855)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SUMIFS(RAB!$F$14:$F$233,RAB!$C$14:$C$233,C856)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SUMIFS(RAB!$F$14:$F$233,RAB!$C$14:$C$233,C857)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SUMIFS(RAB!$F$14:$F$233,RAB!$C$14:$C$233,C858)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SUMIFS(RAB!$F$14:$F$233,RAB!$C$14:$C$233,C859)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SUMIFS(RAB!$F$14:$F$233,RAB!$C$14:$C$233,C860)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SUMIFS(RAB!$F$14:$F$233,RAB!$C$14:$C$233,C861)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SUMIFS(RAB!$F$14:$F$233,RAB!$C$14:$C$233,C862)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SUMIFS(RAB!$F$14:$F$233,RAB!$C$14:$C$233,C863)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SUMIFS(RAB!$F$14:$F$233,RAB!$C$14:$C$233,C864)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SUMIFS(RAB!$F$14:$F$233,RAB!$C$14:$C$233,C865)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SUMIFS(RAB!$F$14:$F$233,RAB!$C$14:$C$233,C866)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SUMIFS(RAB!$F$14:$F$233,RAB!$C$14:$C$233,C867)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SUMIFS(RAB!$F$14:$F$233,RAB!$C$14:$C$233,C868)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SUMIFS(RAB!$F$14:$F$233,RAB!$C$14:$C$233,C869)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SUMIFS(RAB!$F$14:$F$233,RAB!$C$14:$C$233,C870)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SUMIFS(RAB!$F$14:$F$233,RAB!$C$14:$C$233,C871)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SUMIFS(RAB!$F$14:$F$233,RAB!$C$14:$C$233,C872)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SUMIFS(RAB!$F$14:$F$233,RAB!$C$14:$C$233,C873)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SUMIFS(RAB!$F$14:$F$233,RAB!$C$14:$C$233,C874)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SUMIFS(RAB!$F$14:$F$233,RAB!$C$14:$C$233,C875)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SUMIFS(RAB!$F$14:$F$233,RAB!$C$14:$C$233,C876)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SUMIFS(RAB!$F$14:$F$233,RAB!$C$14:$C$233,C877)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SUMIFS(RAB!$F$14:$F$233,RAB!$C$14:$C$233,C878)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SUMIFS(RAB!$F$14:$F$233,RAB!$C$14:$C$233,C879)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SUMIFS(RAB!$F$14:$F$233,RAB!$C$14:$C$233,C880)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SUMIFS(RAB!$F$14:$F$233,RAB!$C$14:$C$233,C881)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SUMIFS(RAB!$F$14:$F$233,RAB!$C$14:$C$233,C882)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SUMIFS(RAB!$F$14:$F$233,RAB!$C$14:$C$233,C883)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SUMIFS(RAB!$F$14:$F$233,RAB!$C$14:$C$233,C884)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SUMIFS(RAB!$F$14:$F$233,RAB!$C$14:$C$233,C885)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SUMIFS(RAB!$F$14:$F$233,RAB!$C$14:$C$233,C886)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SUMIFS(RAB!$F$14:$F$233,RAB!$C$14:$C$233,C887)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SUMIFS(RAB!$F$14:$F$233,RAB!$C$14:$C$233,C888)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SUMIFS(RAB!$F$14:$F$233,RAB!$C$14:$C$233,C889)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SUMIFS(RAB!$F$14:$F$233,RAB!$C$14:$C$233,C890)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SUMIFS(RAB!$F$14:$F$233,RAB!$C$14:$C$233,C891)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SUMIFS(RAB!$F$14:$F$233,RAB!$C$14:$C$233,C892)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SUMIFS(RAB!$F$14:$F$233,RAB!$C$14:$C$233,C893)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SUMIFS(RAB!$F$14:$F$233,RAB!$C$14:$C$233,C894)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SUMIFS(RAB!$F$14:$F$233,RAB!$C$14:$C$233,C895)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SUMIFS(RAB!$F$14:$F$233,RAB!$C$14:$C$233,C896)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SUMIFS(RAB!$F$14:$F$233,RAB!$C$14:$C$233,C897)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SUMIFS(RAB!$F$14:$F$233,RAB!$C$14:$C$233,C898)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SUMIFS(RAB!$F$14:$F$233,RAB!$C$14:$C$233,C899)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SUMIFS(RAB!$F$14:$F$233,RAB!$C$14:$C$233,C900)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SUMIFS(RAB!$F$14:$F$233,RAB!$C$14:$C$233,C901)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SUMIFS(RAB!$F$14:$F$233,RAB!$C$14:$C$233,C902)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SUMIFS(RAB!$F$14:$F$233,RAB!$C$14:$C$233,C903)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SUMIFS(RAB!$F$14:$F$233,RAB!$C$14:$C$233,C904)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SUMIFS(RAB!$F$14:$F$233,RAB!$C$14:$C$233,C905)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SUMIFS(RAB!$F$14:$F$233,RAB!$C$14:$C$233,C906)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SUMIFS(RAB!$F$14:$F$233,RAB!$C$14:$C$233,C907)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SUMIFS(RAB!$F$14:$F$233,RAB!$C$14:$C$233,C908)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SUMIFS(RAB!$F$14:$F$233,RAB!$C$14:$C$233,C909)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SUMIFS(RAB!$F$14:$F$233,RAB!$C$14:$C$233,C910)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SUMIFS(RAB!$F$14:$F$233,RAB!$C$14:$C$233,C911)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SUMIFS(RAB!$F$14:$F$233,RAB!$C$14:$C$233,C912)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SUMIFS(RAB!$F$14:$F$233,RAB!$C$14:$C$233,C913)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SUMIFS(RAB!$F$14:$F$233,RAB!$C$14:$C$233,C914)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SUMIFS(RAB!$F$14:$F$233,RAB!$C$14:$C$233,C915)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SUMIFS(RAB!$F$14:$F$233,RAB!$C$14:$C$233,C916)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SUMIFS(RAB!$F$14:$F$233,RAB!$C$14:$C$233,C917)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SUMIFS(RAB!$F$14:$F$233,RAB!$C$14:$C$233,C918)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SUMIFS(RAB!$F$14:$F$233,RAB!$C$14:$C$233,C919)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SUMIFS(RAB!$F$14:$F$233,RAB!$C$14:$C$233,C920)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SUMIFS(RAB!$F$14:$F$233,RAB!$C$14:$C$233,C921)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SUMIFS(RAB!$F$14:$F$233,RAB!$C$14:$C$233,C922)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SUMIFS(RAB!$F$14:$F$233,RAB!$C$14:$C$233,C923)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SUMIFS(RAB!$F$14:$F$233,RAB!$C$14:$C$233,C924)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SUMIFS(RAB!$F$14:$F$233,RAB!$C$14:$C$233,C925)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SUMIFS(RAB!$F$14:$F$233,RAB!$C$14:$C$233,C926)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SUMIFS(RAB!$F$14:$F$233,RAB!$C$14:$C$233,C927)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SUMIFS(RAB!$F$14:$F$233,RAB!$C$14:$C$233,C928)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SUMIFS(RAB!$F$14:$F$233,RAB!$C$14:$C$233,C929)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SUMIFS(RAB!$F$14:$F$233,RAB!$C$14:$C$233,C930)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SUMIFS(RAB!$F$14:$F$233,RAB!$C$14:$C$233,C931)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SUMIFS(RAB!$F$14:$F$233,RAB!$C$14:$C$233,C932)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SUMIFS(RAB!$F$14:$F$233,RAB!$C$14:$C$233,C933)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SUMIFS(RAB!$F$14:$F$233,RAB!$C$14:$C$233,C934)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SUMIFS(RAB!$F$14:$F$233,RAB!$C$14:$C$233,C935)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SUMIFS(RAB!$F$14:$F$233,RAB!$C$14:$C$233,C936)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SUMIFS(RAB!$F$14:$F$233,RAB!$C$14:$C$233,C937)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SUMIFS(RAB!$F$14:$F$233,RAB!$C$14:$C$233,C938)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SUMIFS(RAB!$F$14:$F$233,RAB!$C$14:$C$233,C939)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SUMIFS(RAB!$F$14:$F$233,RAB!$C$14:$C$233,C940)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SUMIFS(RAB!$F$14:$F$233,RAB!$C$14:$C$233,C941)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SUMIFS(RAB!$F$14:$F$233,RAB!$C$14:$C$233,C942)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SUMIFS(RAB!$F$14:$F$233,RAB!$C$14:$C$233,C943)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SUMIFS(RAB!$F$14:$F$233,RAB!$C$14:$C$233,C944)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SUMIFS(RAB!$F$14:$F$233,RAB!$C$14:$C$233,C945)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SUMIFS(RAB!$F$14:$F$233,RAB!$C$14:$C$233,C946)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SUMIFS(RAB!$F$14:$F$233,RAB!$C$14:$C$233,C947)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SUMIFS(RAB!$F$14:$F$233,RAB!$C$14:$C$233,C948)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SUMIFS(RAB!$F$14:$F$233,RAB!$C$14:$C$233,C949)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SUMIFS(RAB!$F$14:$F$233,RAB!$C$14:$C$233,C950)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SUMIFS(RAB!$F$14:$F$233,RAB!$C$14:$C$233,C951)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SUMIFS(RAB!$F$14:$F$233,RAB!$C$14:$C$233,C952)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SUMIFS(RAB!$F$14:$F$233,RAB!$C$14:$C$233,C953)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SUMIFS(RAB!$F$14:$F$233,RAB!$C$14:$C$233,C954)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SUMIFS(RAB!$F$14:$F$233,RAB!$C$14:$C$233,C955)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SUMIFS(RAB!$F$14:$F$233,RAB!$C$14:$C$233,C956)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SUMIFS(RAB!$F$14:$F$233,RAB!$C$14:$C$233,C957)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SUMIFS(RAB!$F$14:$F$233,RAB!$C$14:$C$233,C958)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SUMIFS(RAB!$F$14:$F$233,RAB!$C$14:$C$233,C959)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SUMIFS(RAB!$F$14:$F$233,RAB!$C$14:$C$233,C960)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SUMIFS(RAB!$F$14:$F$233,RAB!$C$14:$C$233,C961)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SUMIFS(RAB!$F$14:$F$233,RAB!$C$14:$C$233,C962)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SUMIFS(RAB!$F$14:$F$233,RAB!$C$14:$C$233,C963)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SUMIFS(RAB!$F$14:$F$233,RAB!$C$14:$C$233,C964)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SUMIFS(RAB!$F$14:$F$233,RAB!$C$14:$C$233,C965)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SUMIFS(RAB!$F$14:$F$233,RAB!$C$14:$C$233,C966)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SUMIFS(RAB!$F$14:$F$233,RAB!$C$14:$C$233,C967)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SUMIFS(RAB!$F$14:$F$233,RAB!$C$14:$C$233,C968)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SUMIFS(RAB!$F$14:$F$233,RAB!$C$14:$C$233,C969)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SUMIFS(RAB!$F$14:$F$233,RAB!$C$14:$C$233,C970)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SUMIFS(RAB!$F$14:$F$233,RAB!$C$14:$C$233,C971)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SUMIFS(RAB!$F$14:$F$233,RAB!$C$14:$C$233,C972)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SUMIFS(RAB!$F$14:$F$233,RAB!$C$14:$C$233,C973)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SUMIFS(RAB!$F$14:$F$233,RAB!$C$14:$C$233,C974)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SUMIFS(RAB!$F$14:$F$233,RAB!$C$14:$C$233,C975)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SUMIFS(RAB!$F$14:$F$233,RAB!$C$14:$C$233,C976)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SUMIFS(RAB!$F$14:$F$233,RAB!$C$14:$C$233,C977)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SUMIFS(RAB!$F$14:$F$233,RAB!$C$14:$C$233,C978)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SUMIFS(RAB!$F$14:$F$233,RAB!$C$14:$C$233,C979)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SUMIFS(RAB!$F$14:$F$233,RAB!$C$14:$C$233,C980)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SUMIFS(RAB!$F$14:$F$233,RAB!$C$14:$C$233,C981)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SUMIFS(RAB!$F$14:$F$233,RAB!$C$14:$C$233,C982)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SUMIFS(RAB!$F$14:$F$233,RAB!$C$14:$C$233,C983)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SUMIFS(RAB!$F$14:$F$233,RAB!$C$14:$C$233,C984)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SUMIFS(RAB!$F$14:$F$233,RAB!$C$14:$C$233,C985)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SUMIFS(RAB!$F$14:$F$233,RAB!$C$14:$C$233,C986)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SUMIFS(RAB!$F$14:$F$233,RAB!$C$14:$C$233,C987)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SUMIFS(RAB!$F$14:$F$233,RAB!$C$14:$C$233,C988)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SUMIFS(RAB!$F$14:$F$233,RAB!$C$14:$C$233,C989)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SUMIFS(RAB!$F$14:$F$233,RAB!$C$14:$C$233,C990)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SUMIFS(RAB!$F$14:$F$233,RAB!$C$14:$C$233,C991)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SUMIFS(RAB!$F$14:$F$233,RAB!$C$14:$C$233,C992)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SUMIFS(RAB!$F$14:$F$233,RAB!$C$14:$C$233,C993)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SUMIFS(RAB!$F$14:$F$233,RAB!$C$14:$C$233,C994)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SUMIFS(RAB!$F$14:$F$233,RAB!$C$14:$C$233,C995)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SUMIFS(RAB!$F$14:$F$233,RAB!$C$14:$C$233,C996)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SUMIFS(RAB!$F$14:$F$233,RAB!$C$14:$C$233,C997)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SUMIFS(RAB!$F$14:$F$233,RAB!$C$14:$C$233,C998)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SUMIFS(RAB!$F$14:$F$233,RAB!$C$14:$C$233,C999)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SUMIFS(RAB!$F$14:$F$233,RAB!$C$14:$C$233,C1000)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SUMIFS(RAB!$F$14:$F$233,RAB!$C$14:$C$233,C1001)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SUMIFS(RAB!$F$14:$F$233,RAB!$C$14:$C$233,C1002)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SUMIFS(RAB!$F$14:$F$233,RAB!$C$14:$C$233,C1003)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SUMIFS(RAB!$F$14:$F$233,RAB!$C$14:$C$233,C1004)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SUMIFS(RAB!$F$14:$F$233,RAB!$C$14:$C$233,C1005)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SUMIFS(RAB!$F$14:$F$233,RAB!$C$14:$C$233,C1006)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SUMIFS(RAB!$F$14:$F$233,RAB!$C$14:$C$233,C1007)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SUMIFS(RAB!$F$14:$F$233,RAB!$C$14:$C$233,C1008)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SUMIFS(RAB!$F$14:$F$233,RAB!$C$14:$C$233,C1009)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SUMIFS(RAB!$F$14:$F$233,RAB!$C$14:$C$233,C1010)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SUMIFS(RAB!$F$14:$F$233,RAB!$C$14:$C$233,C1011)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SUMIFS(RAB!$F$14:$F$233,RAB!$C$14:$C$233,C1012)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SUMIFS(RAB!$F$14:$F$233,RAB!$C$14:$C$233,C1013)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SUMIFS(RAB!$F$14:$F$233,RAB!$C$14:$C$233,C1014)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SUMIFS(RAB!$F$14:$F$233,RAB!$C$14:$C$233,C1015)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SUMIFS(RAB!$F$14:$F$233,RAB!$C$14:$C$233,C1016)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SUMIFS(RAB!$F$14:$F$233,RAB!$C$14:$C$233,C1017)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SUMIFS(RAB!$F$14:$F$233,RAB!$C$14:$C$233,C1018)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SUMIFS(RAB!$F$14:$F$233,RAB!$C$14:$C$233,C1019)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SUMIFS(RAB!$F$14:$F$233,RAB!$C$14:$C$233,C1020)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SUMIFS(RAB!$F$14:$F$233,RAB!$C$14:$C$233,C1021)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SUMIFS(RAB!$F$14:$F$233,RAB!$C$14:$C$233,C1022)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SUMIFS(RAB!$F$14:$F$233,RAB!$C$14:$C$233,C1023)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SUMIFS(RAB!$F$14:$F$233,RAB!$C$14:$C$233,C1024)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SUMIFS(RAB!$F$14:$F$233,RAB!$C$14:$C$233,C1025)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SUMIFS(RAB!$F$14:$F$233,RAB!$C$14:$C$233,C1026)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SUMIFS(RAB!$F$14:$F$233,RAB!$C$14:$C$233,C1027)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SUMIFS(RAB!$F$14:$F$233,RAB!$C$14:$C$233,C1028)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SUMIFS(RAB!$F$14:$F$233,RAB!$C$14:$C$233,C1029)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SUMIFS(RAB!$F$14:$F$233,RAB!$C$14:$C$233,C1030)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SUMIFS(RAB!$F$14:$F$233,RAB!$C$14:$C$233,C1031)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SUMIFS(RAB!$F$14:$F$233,RAB!$C$14:$C$233,C1032)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SUMIFS(RAB!$F$14:$F$233,RAB!$C$14:$C$233,C1033)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SUMIFS(RAB!$F$14:$F$233,RAB!$C$14:$C$233,C1034)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SUMIFS(RAB!$F$14:$F$233,RAB!$C$14:$C$233,C1035)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SUMIFS(RAB!$F$14:$F$233,RAB!$C$14:$C$233,C1036)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SUMIFS(RAB!$F$14:$F$233,RAB!$C$14:$C$233,C1037)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SUMIFS(RAB!$F$14:$F$233,RAB!$C$14:$C$233,C1038)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SUMIFS(RAB!$F$14:$F$233,RAB!$C$14:$C$233,C1039)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SUMIFS(RAB!$F$14:$F$233,RAB!$C$14:$C$233,C1040)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SUMIFS(RAB!$F$14:$F$233,RAB!$C$14:$C$233,C1041)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SUMIFS(RAB!$F$14:$F$233,RAB!$C$14:$C$233,C1042)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SUMIFS(RAB!$F$14:$F$233,RAB!$C$14:$C$233,C1043)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SUMIFS(RAB!$F$14:$F$233,RAB!$C$14:$C$233,C1044)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SUMIFS(RAB!$F$14:$F$233,RAB!$C$14:$C$233,C1045)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SUMIFS(RAB!$F$14:$F$233,RAB!$C$14:$C$233,C1046)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SUMIFS(RAB!$F$14:$F$233,RAB!$C$14:$C$233,C1047)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SUMIFS(RAB!$F$14:$F$233,RAB!$C$14:$C$233,C1048)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SUMIFS(RAB!$F$14:$F$233,RAB!$C$14:$C$233,C1049)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SUMIFS(RAB!$F$14:$F$233,RAB!$C$14:$C$233,C1050)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SUMIFS(RAB!$F$14:$F$233,RAB!$C$14:$C$233,C1051)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SUMIFS(RAB!$F$14:$F$233,RAB!$C$14:$C$233,C1052)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SUMIFS(RAB!$F$14:$F$233,RAB!$C$14:$C$233,C1053)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SUMIFS(RAB!$F$14:$F$233,RAB!$C$14:$C$233,C1054)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SUMIFS(RAB!$F$14:$F$233,RAB!$C$14:$C$233,C1055)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SUMIFS(RAB!$F$14:$F$233,RAB!$C$14:$C$233,C1056)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SUMIFS(RAB!$F$14:$F$233,RAB!$C$14:$C$233,C1057)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SUMIFS(RAB!$F$14:$F$233,RAB!$C$14:$C$233,C1058)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SUMIFS(RAB!$F$14:$F$233,RAB!$C$14:$C$233,C1059)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SUMIFS(RAB!$F$14:$F$233,RAB!$C$14:$C$233,C1060)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SUMIFS(RAB!$F$14:$F$233,RAB!$C$14:$C$233,C1061)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SUMIFS(RAB!$F$14:$F$233,RAB!$C$14:$C$233,C1062)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SUMIFS(RAB!$F$14:$F$233,RAB!$C$14:$C$233,C1063)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SUMIFS(RAB!$F$14:$F$233,RAB!$C$14:$C$233,C1064)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SUMIFS(RAB!$F$14:$F$233,RAB!$C$14:$C$233,C1065)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SUMIFS(RAB!$F$14:$F$233,RAB!$C$14:$C$233,C1066)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SUMIFS(RAB!$F$14:$F$233,RAB!$C$14:$C$233,C1067)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SUMIFS(RAB!$F$14:$F$233,RAB!$C$14:$C$233,C1068)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SUMIFS(RAB!$F$14:$F$233,RAB!$C$14:$C$233,C1069)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SUMIFS(RAB!$F$14:$F$233,RAB!$C$14:$C$233,C1070)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SUMIFS(RAB!$F$14:$F$233,RAB!$C$14:$C$233,C1071)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SUMIFS(RAB!$F$14:$F$233,RAB!$C$14:$C$233,C1072)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SUMIFS(RAB!$F$14:$F$233,RAB!$C$14:$C$233,C1073)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SUMIFS(RAB!$F$14:$F$233,RAB!$C$14:$C$233,C1074)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SUMIFS(RAB!$F$14:$F$233,RAB!$C$14:$C$233,C1075)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SUMIFS(RAB!$F$14:$F$233,RAB!$C$14:$C$233,C1076)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SUMIFS(RAB!$F$14:$F$233,RAB!$C$14:$C$233,C1077)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SUMIFS(RAB!$F$14:$F$233,RAB!$C$14:$C$233,C1078)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SUMIFS(RAB!$F$14:$F$233,RAB!$C$14:$C$233,C1079)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SUMIFS(RAB!$F$14:$F$233,RAB!$C$14:$C$233,C1080)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SUMIFS(RAB!$F$14:$F$233,RAB!$C$14:$C$233,C1081)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SUMIFS(RAB!$F$14:$F$233,RAB!$C$14:$C$233,C1082)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SUMIFS(RAB!$F$14:$F$233,RAB!$C$14:$C$233,C1083)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SUMIFS(RAB!$F$14:$F$233,RAB!$C$14:$C$233,C1084)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SUMIFS(RAB!$F$14:$F$233,RAB!$C$14:$C$233,C1085)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SUMIFS(RAB!$F$14:$F$233,RAB!$C$14:$C$233,C1086)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SUMIFS(RAB!$F$14:$F$233,RAB!$C$14:$C$233,C1087)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SUMIFS(RAB!$F$14:$F$233,RAB!$C$14:$C$233,C1088)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SUMIFS(RAB!$F$14:$F$233,RAB!$C$14:$C$233,C1089)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SUMIFS(RAB!$F$14:$F$233,RAB!$C$14:$C$233,C1090)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SUMIFS(RAB!$F$14:$F$233,RAB!$C$14:$C$233,C1091)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SUMIFS(RAB!$F$14:$F$233,RAB!$C$14:$C$233,C1092)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SUMIFS(RAB!$F$14:$F$233,RAB!$C$14:$C$233,C1093)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SUMIFS(RAB!$F$14:$F$233,RAB!$C$14:$C$233,C1094)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SUMIFS(RAB!$F$14:$F$233,RAB!$C$14:$C$233,C1095)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SUMIFS(RAB!$F$14:$F$233,RAB!$C$14:$C$233,C1096)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SUMIFS(RAB!$F$14:$F$233,RAB!$C$14:$C$233,C1097)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SUMIFS(RAB!$F$14:$F$233,RAB!$C$14:$C$233,C1098)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SUMIFS(RAB!$F$14:$F$233,RAB!$C$14:$C$233,C1099)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SUMIFS(RAB!$F$14:$F$233,RAB!$C$14:$C$233,C1100)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SUMIFS(RAB!$F$14:$F$233,RAB!$C$14:$C$233,C1101)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SUMIFS(RAB!$F$14:$F$233,RAB!$C$14:$C$233,C1102)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SUMIFS(RAB!$F$14:$F$233,RAB!$C$14:$C$233,C1103)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SUMIFS(RAB!$F$14:$F$233,RAB!$C$14:$C$233,C1104)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SUMIFS(RAB!$F$14:$F$233,RAB!$C$14:$C$233,C1105)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SUMIFS(RAB!$F$14:$F$233,RAB!$C$14:$C$233,C1106)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SUMIFS(RAB!$F$14:$F$233,RAB!$C$14:$C$233,C1107)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SUMIFS(RAB!$F$14:$F$233,RAB!$C$14:$C$233,C1108)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SUMIFS(RAB!$F$14:$F$233,RAB!$C$14:$C$233,C1109)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SUMIFS(RAB!$F$14:$F$233,RAB!$C$14:$C$233,C1110)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SUMIFS(RAB!$F$14:$F$233,RAB!$C$14:$C$233,C1111)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SUMIFS(RAB!$F$14:$F$233,RAB!$C$14:$C$233,C1112)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SUMIFS(RAB!$F$14:$F$233,RAB!$C$14:$C$233,C1113)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SUMIFS(RAB!$F$14:$F$233,RAB!$C$14:$C$233,C1114)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SUMIFS(RAB!$F$14:$F$233,RAB!$C$14:$C$233,C1115)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SUMIFS(RAB!$F$14:$F$233,RAB!$C$14:$C$233,C1116)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SUMIFS(RAB!$F$14:$F$233,RAB!$C$14:$C$233,C1117)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SUMIFS(RAB!$F$14:$F$233,RAB!$C$14:$C$233,C1118)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SUMIFS(RAB!$F$14:$F$233,RAB!$C$14:$C$233,C1119)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SUMIFS(RAB!$F$14:$F$233,RAB!$C$14:$C$233,C1120)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SUMIFS(RAB!$F$14:$F$233,RAB!$C$14:$C$233,C1121)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SUMIFS(RAB!$F$14:$F$233,RAB!$C$14:$C$233,C1122)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SUMIFS(RAB!$F$14:$F$233,RAB!$C$14:$C$233,C1123)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SUMIFS(RAB!$F$14:$F$233,RAB!$C$14:$C$233,C1124)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SUMIFS(RAB!$F$14:$F$233,RAB!$C$14:$C$233,C1125)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SUMIFS(RAB!$F$14:$F$233,RAB!$C$14:$C$233,C1126)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SUMIFS(RAB!$F$14:$F$233,RAB!$C$14:$C$233,C1127)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SUMIFS(RAB!$F$14:$F$233,RAB!$C$14:$C$233,C1128)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SUMIFS(RAB!$F$14:$F$233,RAB!$C$14:$C$233,C1129)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SUMIFS(RAB!$F$14:$F$233,RAB!$C$14:$C$233,C1130)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SUMIFS(RAB!$F$14:$F$233,RAB!$C$14:$C$233,C1131)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SUMIFS(RAB!$F$14:$F$233,RAB!$C$14:$C$233,C1132)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SUMIFS(RAB!$F$14:$F$233,RAB!$C$14:$C$233,C1133)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SUMIFS(RAB!$F$14:$F$233,RAB!$C$14:$C$233,C1134)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SUMIFS(RAB!$F$14:$F$233,RAB!$C$14:$C$233,C1135)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SUMIFS(RAB!$F$14:$F$233,RAB!$C$14:$C$233,C1136)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SUMIFS(RAB!$F$14:$F$233,RAB!$C$14:$C$233,C1137)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SUMIFS(RAB!$F$14:$F$233,RAB!$C$14:$C$233,C1138)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SUMIFS(RAB!$F$14:$F$233,RAB!$C$14:$C$233,C1139)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SUMIFS(RAB!$F$14:$F$233,RAB!$C$14:$C$233,C1140)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SUMIFS(RAB!$F$14:$F$233,RAB!$C$14:$C$233,C1141)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SUMIFS(RAB!$F$14:$F$233,RAB!$C$14:$C$233,C1142)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SUMIFS(RAB!$F$14:$F$233,RAB!$C$14:$C$233,C1143)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SUMIFS(RAB!$F$14:$F$233,RAB!$C$14:$C$233,C1144)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SUMIFS(RAB!$F$14:$F$233,RAB!$C$14:$C$233,C1145)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SUMIFS(RAB!$F$14:$F$233,RAB!$C$14:$C$233,C1146)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SUMIFS(RAB!$F$14:$F$233,RAB!$C$14:$C$233,C1147)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SUMIFS(RAB!$F$14:$F$233,RAB!$C$14:$C$233,C1148)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SUMIFS(RAB!$F$14:$F$233,RAB!$C$14:$C$233,C1149)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SUMIFS(RAB!$F$14:$F$233,RAB!$C$14:$C$233,C1150)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SUMIFS(RAB!$F$14:$F$233,RAB!$C$14:$C$233,C1151)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SUMIFS(RAB!$F$14:$F$233,RAB!$C$14:$C$233,C1152)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SUMIFS(RAB!$F$14:$F$233,RAB!$C$14:$C$233,C1153)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SUMIFS(RAB!$F$14:$F$233,RAB!$C$14:$C$233,C1154)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SUMIFS(RAB!$F$14:$F$233,RAB!$C$14:$C$233,C1155)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SUMIFS(RAB!$F$14:$F$233,RAB!$C$14:$C$233,C1156)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SUMIFS(RAB!$F$14:$F$233,RAB!$C$14:$C$233,C1157)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SUMIFS(RAB!$F$14:$F$233,RAB!$C$14:$C$233,C1158)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SUMIFS(RAB!$F$14:$F$233,RAB!$C$14:$C$233,C1159)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SUMIFS(RAB!$F$14:$F$233,RAB!$C$14:$C$233,C1160)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SUMIFS(RAB!$F$14:$F$233,RAB!$C$14:$C$233,C1161)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SUMIFS(RAB!$F$14:$F$233,RAB!$C$14:$C$233,C1162)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SUMIFS(RAB!$F$14:$F$233,RAB!$C$14:$C$233,C1163)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SUMIFS(RAB!$F$14:$F$233,RAB!$C$14:$C$233,C1164)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SUMIFS(RAB!$F$14:$F$233,RAB!$C$14:$C$233,C1165)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SUMIFS(RAB!$F$14:$F$233,RAB!$C$14:$C$233,C1166)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SUMIFS(RAB!$F$14:$F$233,RAB!$C$14:$C$233,C1167)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SUMIFS(RAB!$F$14:$F$233,RAB!$C$14:$C$233,C1168)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SUMIFS(RAB!$F$14:$F$233,RAB!$C$14:$C$233,C1169)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SUMIFS(RAB!$F$14:$F$233,RAB!$C$14:$C$233,C1170)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SUMIFS(RAB!$F$14:$F$233,RAB!$C$14:$C$233,C1171)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SUMIFS(RAB!$F$14:$F$233,RAB!$C$14:$C$233,C1172)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SUMIFS(RAB!$F$14:$F$233,RAB!$C$14:$C$233,C1173)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SUMIFS(RAB!$F$14:$F$233,RAB!$C$14:$C$233,C1174)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SUMIFS(RAB!$F$14:$F$233,RAB!$C$14:$C$233,C1175)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SUMIFS(RAB!$F$14:$F$233,RAB!$C$14:$C$233,C1176)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SUMIFS(RAB!$F$14:$F$233,RAB!$C$14:$C$233,C1177)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SUMIFS(RAB!$F$14:$F$233,RAB!$C$14:$C$233,C1178)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SUMIFS(RAB!$F$14:$F$233,RAB!$C$14:$C$233,C1179)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SUMIFS(RAB!$F$14:$F$233,RAB!$C$14:$C$233,C1180)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SUMIFS(RAB!$F$14:$F$233,RAB!$C$14:$C$233,C1181)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SUMIFS(RAB!$F$14:$F$233,RAB!$C$14:$C$233,C1182)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SUMIFS(RAB!$F$14:$F$233,RAB!$C$14:$C$233,C1183)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SUMIFS(RAB!$F$14:$F$233,RAB!$C$14:$C$233,C1184)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SUMIFS(RAB!$F$14:$F$233,RAB!$C$14:$C$233,C1185)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SUMIFS(RAB!$F$14:$F$233,RAB!$C$14:$C$233,C1186)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SUMIFS(RAB!$F$14:$F$233,RAB!$C$14:$C$233,C1187)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SUMIFS(RAB!$F$14:$F$233,RAB!$C$14:$C$233,C1188)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SUMIFS(RAB!$F$14:$F$233,RAB!$C$14:$C$233,C1189)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SUMIFS(RAB!$F$14:$F$233,RAB!$C$14:$C$233,C1190)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SUMIFS(RAB!$F$14:$F$233,RAB!$C$14:$C$233,C1191)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SUMIFS(RAB!$F$14:$F$233,RAB!$C$14:$C$233,C1192)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SUMIFS(RAB!$F$14:$F$233,RAB!$C$14:$C$233,C1193)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SUMIFS(RAB!$F$14:$F$233,RAB!$C$14:$C$233,C1194)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SUMIFS(RAB!$F$14:$F$233,RAB!$C$14:$C$233,C1195)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SUMIFS(RAB!$F$14:$F$233,RAB!$C$14:$C$233,C1196)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SUMIFS(RAB!$F$14:$F$233,RAB!$C$14:$C$233,C1197)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SUMIFS(RAB!$F$14:$F$233,RAB!$C$14:$C$233,C1198)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SUMIFS(RAB!$F$14:$F$233,RAB!$C$14:$C$233,C1199)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SUMIFS(RAB!$F$14:$F$233,RAB!$C$14:$C$233,C1200)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SUMIFS(RAB!$F$14:$F$233,RAB!$C$14:$C$233,C1201)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SUMIFS(RAB!$F$14:$F$233,RAB!$C$14:$C$233,C1202)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SUMIFS(RAB!$F$14:$F$233,RAB!$C$14:$C$233,C1203)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SUMIFS(RAB!$F$14:$F$233,RAB!$C$14:$C$233,C1204)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SUMIFS(RAB!$F$14:$F$233,RAB!$C$14:$C$233,C1205)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SUMIFS(RAB!$F$14:$F$233,RAB!$C$14:$C$233,C1206)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SUMIFS(RAB!$F$14:$F$233,RAB!$C$14:$C$233,C1207)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SUMIFS(RAB!$F$14:$F$233,RAB!$C$14:$C$233,C1208)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SUMIFS(RAB!$F$14:$F$233,RAB!$C$14:$C$233,C1209)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SUMIFS(RAB!$F$14:$F$233,RAB!$C$14:$C$233,C1210)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SUMIFS(RAB!$F$14:$F$233,RAB!$C$14:$C$233,C1211)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SUMIFS(RAB!$F$14:$F$233,RAB!$C$14:$C$233,C1212)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SUMIFS(RAB!$F$14:$F$233,RAB!$C$14:$C$233,C1213)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SUMIFS(RAB!$F$14:$F$233,RAB!$C$14:$C$233,C1214)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SUMIFS(RAB!$F$14:$F$233,RAB!$C$14:$C$233,C1215)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SUMIFS(RAB!$F$14:$F$233,RAB!$C$14:$C$233,C1216)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SUMIFS(RAB!$F$14:$F$233,RAB!$C$14:$C$233,C1217)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SUMIFS(RAB!$F$14:$F$233,RAB!$C$14:$C$233,C1218)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SUMIFS(RAB!$F$14:$F$233,RAB!$C$14:$C$233,C1219)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SUMIFS(RAB!$F$14:$F$233,RAB!$C$14:$C$233,C1220)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SUMIFS(RAB!$F$14:$F$233,RAB!$C$14:$C$233,C1221)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SUMIFS(RAB!$F$14:$F$233,RAB!$C$14:$C$233,C1222)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SUMIFS(RAB!$F$14:$F$233,RAB!$C$14:$C$233,C1223)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SUMIFS(RAB!$F$14:$F$233,RAB!$C$14:$C$233,C1224)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SUMIFS(RAB!$F$14:$F$233,RAB!$C$14:$C$233,C1225)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SUMIFS(RAB!$F$14:$F$233,RAB!$C$14:$C$233,C1226)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SUMIFS(RAB!$F$14:$F$233,RAB!$C$14:$C$233,C1227)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SUMIFS(RAB!$F$14:$F$233,RAB!$C$14:$C$233,C1228)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SUMIFS(RAB!$F$14:$F$233,RAB!$C$14:$C$233,C1229)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SUMIFS(RAB!$F$14:$F$233,RAB!$C$14:$C$233,C1230)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SUMIFS(RAB!$F$14:$F$233,RAB!$C$14:$C$233,C1231)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SUMIFS(RAB!$F$14:$F$233,RAB!$C$14:$C$233,C1232)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SUMIFS(RAB!$F$14:$F$233,RAB!$C$14:$C$233,C1233)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SUMIFS(RAB!$F$14:$F$233,RAB!$C$14:$C$233,C1234)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SUMIFS(RAB!$F$14:$F$233,RAB!$C$14:$C$233,C1235)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SUMIFS(RAB!$F$14:$F$233,RAB!$C$14:$C$233,C1236)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SUMIFS(RAB!$F$14:$F$233,RAB!$C$14:$C$233,C1237)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SUMIFS(RAB!$F$14:$F$233,RAB!$C$14:$C$233,C1238)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SUMIFS(RAB!$F$14:$F$233,RAB!$C$14:$C$233,C1239)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SUMIFS(RAB!$F$14:$F$233,RAB!$C$14:$C$233,C1240)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SUMIFS(RAB!$F$14:$F$233,RAB!$C$14:$C$233,C1241)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SUMIFS(RAB!$F$14:$F$233,RAB!$C$14:$C$233,C1242)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SUMIFS(RAB!$F$14:$F$233,RAB!$C$14:$C$233,C1243)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SUMIFS(RAB!$F$14:$F$233,RAB!$C$14:$C$233,C1244)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SUMIFS(RAB!$F$14:$F$233,RAB!$C$14:$C$233,C1245)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SUMIFS(RAB!$F$14:$F$233,RAB!$C$14:$C$233,C1246)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SUMIFS(RAB!$F$14:$F$233,RAB!$C$14:$C$233,C1247)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SUMIFS(RAB!$F$14:$F$233,RAB!$C$14:$C$233,C1248)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SUMIFS(RAB!$F$14:$F$233,RAB!$C$14:$C$233,C1249)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SUMIFS(RAB!$F$14:$F$233,RAB!$C$14:$C$233,C1250)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SUMIFS(RAB!$F$14:$F$233,RAB!$C$14:$C$233,C1251)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SUMIFS(RAB!$F$14:$F$233,RAB!$C$14:$C$233,C1252)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SUMIFS(RAB!$F$14:$F$233,RAB!$C$14:$C$233,C1253)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SUMIFS(RAB!$F$14:$F$233,RAB!$C$14:$C$233,C1254)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SUMIFS(RAB!$F$14:$F$233,RAB!$C$14:$C$233,C1255)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SUMIFS(RAB!$F$14:$F$233,RAB!$C$14:$C$233,C1256)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SUMIFS(RAB!$F$14:$F$233,RAB!$C$14:$C$233,C1257)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SUMIFS(RAB!$F$14:$F$233,RAB!$C$14:$C$233,C1258)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SUMIFS(RAB!$F$14:$F$233,RAB!$C$14:$C$233,C1259)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SUMIFS(RAB!$F$14:$F$233,RAB!$C$14:$C$233,C1260)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SUMIFS(RAB!$F$14:$F$233,RAB!$C$14:$C$233,C1261)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SUMIFS(RAB!$F$14:$F$233,RAB!$C$14:$C$233,C1262)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SUMIFS(RAB!$F$14:$F$233,RAB!$C$14:$C$233,C1263)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SUMIFS(RAB!$F$14:$F$233,RAB!$C$14:$C$233,C1264)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SUMIFS(RAB!$F$14:$F$233,RAB!$C$14:$C$233,C1265)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SUMIFS(RAB!$F$14:$F$233,RAB!$C$14:$C$233,C1266)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SUMIFS(RAB!$F$14:$F$233,RAB!$C$14:$C$233,C1267)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SUMIFS(RAB!$F$14:$F$233,RAB!$C$14:$C$233,C1268)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SUMIFS(RAB!$F$14:$F$233,RAB!$C$14:$C$233,C1269)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SUMIFS(RAB!$F$14:$F$233,RAB!$C$14:$C$233,C1270)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SUMIFS(RAB!$F$14:$F$233,RAB!$C$14:$C$233,C1271)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SUMIFS(RAB!$F$14:$F$233,RAB!$C$14:$C$233,C1272)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SUMIFS(RAB!$F$14:$F$233,RAB!$C$14:$C$233,C1273)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SUMIFS(RAB!$F$14:$F$233,RAB!$C$14:$C$233,C1274)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SUMIFS(RAB!$F$14:$F$233,RAB!$C$14:$C$233,C1275)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SUMIFS(RAB!$F$14:$F$233,RAB!$C$14:$C$233,C1276)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SUMIFS(RAB!$F$14:$F$233,RAB!$C$14:$C$233,C1277)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SUMIFS(RAB!$F$14:$F$233,RAB!$C$14:$C$233,C1278)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SUMIFS(RAB!$F$14:$F$233,RAB!$C$14:$C$233,C1279)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SUMIFS(RAB!$F$14:$F$233,RAB!$C$14:$C$233,C1280)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SUMIFS(RAB!$F$14:$F$233,RAB!$C$14:$C$233,C1281)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SUMIFS(RAB!$F$14:$F$233,RAB!$C$14:$C$233,C1282)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SUMIFS(RAB!$F$14:$F$233,RAB!$C$14:$C$233,C1283)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SUMIFS(RAB!$F$14:$F$233,RAB!$C$14:$C$233,C1284)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SUMIFS(RAB!$F$14:$F$233,RAB!$C$14:$C$233,C1285)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SUMIFS(RAB!$F$14:$F$233,RAB!$C$14:$C$233,C1286)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SUMIFS(RAB!$F$14:$F$233,RAB!$C$14:$C$233,C1287)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SUMIFS(RAB!$F$14:$F$233,RAB!$C$14:$C$233,C1288)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SUMIFS(RAB!$F$14:$F$233,RAB!$C$14:$C$233,C1289)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SUMIFS(RAB!$F$14:$F$233,RAB!$C$14:$C$233,C1290)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SUMIFS(RAB!$F$14:$F$233,RAB!$C$14:$C$233,C1291)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SUMIFS(RAB!$F$14:$F$233,RAB!$C$14:$C$233,C1292)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SUMIFS(RAB!$F$14:$F$233,RAB!$C$14:$C$233,C1293)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SUMIFS(RAB!$F$14:$F$233,RAB!$C$14:$C$233,C1294)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SUMIFS(RAB!$F$14:$F$233,RAB!$C$14:$C$233,C1295)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SUMIFS(RAB!$F$14:$F$233,RAB!$C$14:$C$233,C1296)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SUMIFS(RAB!$F$14:$F$233,RAB!$C$14:$C$233,C1297)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SUMIFS(RAB!$F$14:$F$233,RAB!$C$14:$C$233,C1298)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SUMIFS(RAB!$F$14:$F$233,RAB!$C$14:$C$233,C1299)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SUMIFS(RAB!$F$14:$F$233,RAB!$C$14:$C$233,C1300)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SUMIFS(RAB!$F$14:$F$233,RAB!$C$14:$C$233,C1301)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SUMIFS(RAB!$F$14:$F$233,RAB!$C$14:$C$233,C1302)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SUMIFS(RAB!$F$14:$F$233,RAB!$C$14:$C$233,C1303)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SUMIFS(RAB!$F$14:$F$233,RAB!$C$14:$C$233,C1304)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SUMIFS(RAB!$F$14:$F$233,RAB!$C$14:$C$233,C1305)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SUMIFS(RAB!$F$14:$F$233,RAB!$C$14:$C$233,C1306)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SUMIFS(RAB!$F$14:$F$233,RAB!$C$14:$C$233,C1307)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SUMIFS(RAB!$F$14:$F$233,RAB!$C$14:$C$233,C1308)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SUMIFS(RAB!$F$14:$F$233,RAB!$C$14:$C$233,C1309)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SUMIFS(RAB!$F$14:$F$233,RAB!$C$14:$C$233,C1310)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SUMIFS(RAB!$F$14:$F$233,RAB!$C$14:$C$233,C1311)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SUMIFS(RAB!$F$14:$F$233,RAB!$C$14:$C$233,C1312)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SUMIFS(RAB!$F$14:$F$233,RAB!$C$14:$C$233,C1313)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SUMIFS(RAB!$F$14:$F$233,RAB!$C$14:$C$233,C1314)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SUMIFS(RAB!$F$14:$F$233,RAB!$C$14:$C$233,C1315)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SUMIFS(RAB!$F$14:$F$233,RAB!$C$14:$C$233,C1316)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SUMIFS(RAB!$F$14:$F$233,RAB!$C$14:$C$233,C1317)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SUMIFS(RAB!$F$14:$F$233,RAB!$C$14:$C$233,C1318)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SUMIFS(RAB!$F$14:$F$233,RAB!$C$14:$C$233,C1319)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SUMIFS(RAB!$F$14:$F$233,RAB!$C$14:$C$233,C1320)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6" priority="5" operator="equal">
      <formula>0</formula>
    </cfRule>
  </conditionalFormatting>
  <conditionalFormatting sqref="A10:L65536">
    <cfRule type="cellIs" dxfId="65" priority="1" operator="equal">
      <formula>0</formula>
    </cfRule>
  </conditionalFormatting>
  <conditionalFormatting sqref="C12:C711">
    <cfRule type="cellIs" dxfId="64" priority="66" stopIfTrue="1" operator="equal">
      <formula>0</formula>
    </cfRule>
  </conditionalFormatting>
  <conditionalFormatting sqref="E712:E65536">
    <cfRule type="cellIs" dxfId="63" priority="16" stopIfTrue="1" operator="equal">
      <formula>0</formula>
    </cfRule>
  </conditionalFormatting>
  <conditionalFormatting sqref="G1:G11 E6:E11 E1:E3 H7 H10:H11 F10:F711 G712:G65536">
    <cfRule type="cellIs" dxfId="62" priority="69" stopIfTrue="1" operator="equal">
      <formula>0</formula>
    </cfRule>
  </conditionalFormatting>
  <conditionalFormatting sqref="G12:H711">
    <cfRule type="cellIs" dxfId="61" priority="12" stopIfTrue="1" operator="equal">
      <formula>0</formula>
    </cfRule>
  </conditionalFormatting>
  <conditionalFormatting sqref="I7:K7">
    <cfRule type="cellIs" dxfId="60" priority="4" stopIfTrue="1" operator="equal">
      <formula>0</formula>
    </cfRule>
  </conditionalFormatting>
  <conditionalFormatting sqref="I10:L711">
    <cfRule type="cellIs" dxfId="59" priority="2" stopIfTrue="1" operator="equal">
      <formula>0</formula>
    </cfRule>
  </conditionalFormatting>
  <conditionalFormatting sqref="L1:L6">
    <cfRule type="cellIs" dxfId="58" priority="10" operator="equal">
      <formula>0</formula>
    </cfRule>
  </conditionalFormatting>
  <conditionalFormatting sqref="M1:IV1048576 A8:G9">
    <cfRule type="cellIs" dxfId="5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3" t="s">
        <v>1127</v>
      </c>
      <c r="C4" s="563"/>
      <c r="D4" s="563"/>
      <c r="E4" s="563"/>
      <c r="F4" s="563"/>
      <c r="G4" s="563"/>
      <c r="H4" s="563"/>
      <c r="I4" s="563"/>
      <c r="J4" s="563"/>
      <c r="K4" s="56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BATCHING PLAN MJA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KI JATENGLAND DS BATU,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0" t="s">
        <v>41</v>
      </c>
      <c r="H11" s="569" t="s">
        <v>3</v>
      </c>
      <c r="I11" s="569"/>
      <c r="J11" s="569"/>
      <c r="K11" s="573"/>
      <c r="M11" s="33"/>
      <c r="N11" s="33"/>
      <c r="O11" s="33"/>
      <c r="P11" s="33"/>
      <c r="R11" s="34"/>
      <c r="S11" s="74"/>
      <c r="T11" s="74"/>
    </row>
    <row r="12" spans="1:21" ht="15" customHeight="1">
      <c r="B12" s="565"/>
      <c r="C12" s="567"/>
      <c r="D12" s="559"/>
      <c r="E12" s="559"/>
      <c r="F12" s="559"/>
      <c r="G12" s="571"/>
      <c r="H12" s="561" t="s">
        <v>46</v>
      </c>
      <c r="I12" s="561" t="s">
        <v>5</v>
      </c>
      <c r="J12" s="559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5"/>
      <c r="C13" s="568"/>
      <c r="D13" s="559"/>
      <c r="E13" s="559"/>
      <c r="F13" s="559"/>
      <c r="G13" s="572"/>
      <c r="H13" s="562"/>
      <c r="I13" s="562"/>
      <c r="J13" s="559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5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29000000</v>
      </c>
      <c r="J17" s="42">
        <f t="shared" ca="1" si="3"/>
        <v>0</v>
      </c>
      <c r="K17" s="43">
        <f t="shared" ca="1" si="0"/>
        <v>29000000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2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12148800</v>
      </c>
      <c r="J18" s="42">
        <f t="shared" ca="1" si="3"/>
        <v>0</v>
      </c>
      <c r="K18" s="43">
        <f t="shared" ca="1" si="0"/>
        <v>12148800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47914000</v>
      </c>
      <c r="J38" s="55">
        <f ca="1">SUM(J14:J37)</f>
        <v>0</v>
      </c>
      <c r="K38" s="55">
        <f ca="1">SUM(K14:K37)</f>
        <v>47914000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4791400</v>
      </c>
      <c r="J39" s="60">
        <f ca="1">J38*0.1</f>
        <v>0</v>
      </c>
      <c r="K39" s="60">
        <f ca="1">K38*0.1</f>
        <v>4791400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7" t="s">
        <v>463</v>
      </c>
      <c r="D40" s="547"/>
      <c r="E40" s="547"/>
      <c r="F40" s="547"/>
      <c r="G40" s="61" t="s">
        <v>9</v>
      </c>
      <c r="H40" s="78">
        <f ca="1">SUM(H38:H39)</f>
        <v>0</v>
      </c>
      <c r="I40" s="78">
        <f ca="1">SUM(I38:I39)</f>
        <v>52705400</v>
      </c>
      <c r="J40" s="61">
        <f ca="1">SUM(J38:J39)</f>
        <v>0</v>
      </c>
      <c r="K40" s="61">
        <f ca="1">SUM(K38:K39)</f>
        <v>52705400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8"/>
      <c r="I45" s="548"/>
      <c r="J45" s="549"/>
      <c r="K45" s="549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8"/>
      <c r="I46" s="548"/>
      <c r="J46" s="549"/>
      <c r="K46" s="549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8"/>
      <c r="I47" s="548"/>
      <c r="J47" s="549"/>
      <c r="K47" s="549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8"/>
      <c r="I52" s="548"/>
      <c r="J52" s="549"/>
      <c r="K52" s="549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SUMIFS(RAB!$F$14:$F$233,RAB!$C$14:$C$233,'REKAP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SUMIFS(RAB!$F$14:$F$233,RAB!$C$14:$C$233,'REKAP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SUMIFS(RAB!$F$14:$F$233,RAB!$C$14:$C$233,'REKAP TIANG'!C59)</f>
        <v>5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SUMIFS(RAB!$F$14:$F$233,RAB!$C$14:$C$233,'REKAP TIANG'!C60)</f>
        <v>2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SUMIFS(RAB!$F$14:$F$233,RAB!$C$14:$C$233,'REKAP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SUMIFS(RAB!$F$14:$F$233,RAB!$C$14:$C$233,'REKAP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SUMIFS(RAB!$F$14:$F$233,RAB!$C$14:$C$233,'REKAP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SUMIFS(RAB!$F$14:$F$233,RAB!$C$14:$C$233,'REKAP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SUMIFS(RAB!$F$14:$F$233,RAB!$C$14:$C$233,'REKAP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SUMIFS(RAB!$F$14:$F$233,RAB!$C$14:$C$233,'REKAP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SUMIFS(RAB!$F$14:$F$233,RAB!$C$14:$C$233,'REKAP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SUMIFS(RAB!$F$14:$F$233,RAB!$C$14:$C$233,'REKAP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SUMIFS(RAB!$F$14:$F$233,RAB!$C$14:$C$233,'REKAP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SUMIFS(RAB!$F$14:$F$233,RAB!$C$14:$C$233,'REKAP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SUMIFS(RAB!$F$14:$F$233,RAB!$C$14:$C$233,'REKAP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SUMIFS(RAB!$F$14:$F$233,RAB!$C$14:$C$233,'REKAP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SUMIFS(RAB!$F$14:$F$233,RAB!$C$14:$C$233,'REKAP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SUMIFS(RAB!$F$14:$F$233,RAB!$C$14:$C$233,'REKAP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SUMIFS(RAB!$F$14:$F$233,RAB!$C$14:$C$233,'REKAP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SUMIFS(RAB!$F$14:$F$233,RAB!$C$14:$C$233,'REKAP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3" t="s">
        <v>1034</v>
      </c>
      <c r="C4" s="563"/>
      <c r="D4" s="563"/>
      <c r="E4" s="563"/>
      <c r="F4" s="563"/>
      <c r="G4" s="563"/>
      <c r="H4" s="563"/>
      <c r="I4" s="563"/>
      <c r="J4" s="563"/>
      <c r="K4" s="56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BATCHING PLAN MJA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KI JATENGLAND DS BATU, KARANGTENGAH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4" t="s">
        <v>0</v>
      </c>
      <c r="C11" s="566" t="s">
        <v>1</v>
      </c>
      <c r="D11" s="569" t="s">
        <v>42</v>
      </c>
      <c r="E11" s="569" t="s">
        <v>43</v>
      </c>
      <c r="F11" s="569" t="s">
        <v>2</v>
      </c>
      <c r="G11" s="570" t="s">
        <v>41</v>
      </c>
      <c r="H11" s="569" t="s">
        <v>3</v>
      </c>
      <c r="I11" s="569"/>
      <c r="J11" s="569"/>
      <c r="K11" s="573"/>
      <c r="M11" s="33"/>
      <c r="N11" s="33"/>
      <c r="O11" s="33"/>
      <c r="P11" s="33"/>
      <c r="R11" s="34"/>
      <c r="S11" s="74"/>
      <c r="T11" s="74"/>
    </row>
    <row r="12" spans="1:21" ht="15" customHeight="1">
      <c r="B12" s="565"/>
      <c r="C12" s="567"/>
      <c r="D12" s="559"/>
      <c r="E12" s="559"/>
      <c r="F12" s="559"/>
      <c r="G12" s="571"/>
      <c r="H12" s="561" t="s">
        <v>46</v>
      </c>
      <c r="I12" s="561" t="s">
        <v>5</v>
      </c>
      <c r="J12" s="559" t="s">
        <v>47</v>
      </c>
      <c r="K12" s="560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5"/>
      <c r="C13" s="568"/>
      <c r="D13" s="559"/>
      <c r="E13" s="559"/>
      <c r="F13" s="559"/>
      <c r="G13" s="572"/>
      <c r="H13" s="562"/>
      <c r="I13" s="562"/>
      <c r="J13" s="559"/>
      <c r="K13" s="560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21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4953900</v>
      </c>
      <c r="I21" s="42">
        <f t="shared" ca="1" si="2"/>
        <v>0</v>
      </c>
      <c r="J21" s="42">
        <f t="shared" ca="1" si="3"/>
        <v>0</v>
      </c>
      <c r="K21" s="43">
        <f t="shared" ca="1" si="0"/>
        <v>4953900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2580000</v>
      </c>
      <c r="I22" s="42">
        <f t="shared" ca="1" si="2"/>
        <v>0</v>
      </c>
      <c r="J22" s="42">
        <f t="shared" ca="1" si="3"/>
        <v>0</v>
      </c>
      <c r="K22" s="43">
        <f t="shared" ca="1" si="0"/>
        <v>2580000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1269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18019800</v>
      </c>
      <c r="I23" s="42">
        <f t="shared" ca="1" si="2"/>
        <v>0</v>
      </c>
      <c r="J23" s="42">
        <f t="shared" ca="1" si="3"/>
        <v>0</v>
      </c>
      <c r="K23" s="43">
        <f t="shared" ca="1" si="0"/>
        <v>18019800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20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1066000</v>
      </c>
      <c r="I24" s="42">
        <f t="shared" ca="1" si="2"/>
        <v>0</v>
      </c>
      <c r="J24" s="42">
        <f t="shared" ca="1" si="3"/>
        <v>0</v>
      </c>
      <c r="K24" s="43">
        <f t="shared" ca="1" si="0"/>
        <v>1066000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63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3433500</v>
      </c>
      <c r="I25" s="42">
        <f t="shared" ca="1" si="2"/>
        <v>0</v>
      </c>
      <c r="J25" s="42">
        <f t="shared" ca="1" si="3"/>
        <v>0</v>
      </c>
      <c r="K25" s="43">
        <f t="shared" ca="1" si="0"/>
        <v>3433500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107336350</v>
      </c>
      <c r="I168" s="55">
        <f ca="1">SUM(I14:I167)</f>
        <v>0</v>
      </c>
      <c r="J168" s="55">
        <f ca="1">SUM(J14:J167)</f>
        <v>0</v>
      </c>
      <c r="K168" s="55">
        <f ca="1">SUM(K14:K167)</f>
        <v>107336350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10733635</v>
      </c>
      <c r="I169" s="60">
        <f ca="1">I168*0.1</f>
        <v>0</v>
      </c>
      <c r="J169" s="60">
        <f ca="1">J168*0.1</f>
        <v>0</v>
      </c>
      <c r="K169" s="60">
        <f ca="1">K168*0.1</f>
        <v>10733635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7" t="s">
        <v>463</v>
      </c>
      <c r="D170" s="547"/>
      <c r="E170" s="547"/>
      <c r="F170" s="547"/>
      <c r="G170" s="61" t="s">
        <v>9</v>
      </c>
      <c r="H170" s="78">
        <f ca="1">SUM(H168:H169)</f>
        <v>118069985</v>
      </c>
      <c r="I170" s="78">
        <f ca="1">SUM(I168:I169)</f>
        <v>0</v>
      </c>
      <c r="J170" s="61">
        <f ca="1">SUM(J168:J169)</f>
        <v>0</v>
      </c>
      <c r="K170" s="61">
        <f ca="1">SUM(K168:K169)</f>
        <v>118069985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8"/>
      <c r="I175" s="548"/>
      <c r="J175" s="549"/>
      <c r="K175" s="549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8"/>
      <c r="I176" s="548"/>
      <c r="J176" s="549"/>
      <c r="K176" s="549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8"/>
      <c r="I177" s="548"/>
      <c r="J177" s="549"/>
      <c r="K177" s="549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8"/>
      <c r="I182" s="548"/>
      <c r="J182" s="549"/>
      <c r="K182" s="549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SUMIFS(RAB!$F$14:$F$233,RAB!$C$14:$C$233,C224)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SUMIFS(RAB!$F$14:$F$233,RAB!$C$14:$C$233,C225)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SUMIFS(RAB!$F$14:$F$233,RAB!$C$14:$C$233,C226)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SUMIFS(RAB!$F$14:$F$233,RAB!$C$14:$C$233,C227)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SUMIFS(RAB!$F$14:$F$233,RAB!$C$14:$C$233,C228)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SUMIFS(RAB!$F$14:$F$233,RAB!$C$14:$C$233,C229)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SUMIFS(RAB!$F$14:$F$233,RAB!$C$14:$C$233,C230)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SUMIFS(RAB!$F$14:$F$233,RAB!$C$14:$C$233,C231)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SUMIFS(RAB!$F$14:$F$233,RAB!$C$14:$C$233,C232)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SUMIFS(RAB!$F$14:$F$233,RAB!$C$14:$C$233,C233)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SUMIFS(RAB!$F$14:$F$233,RAB!$C$14:$C$233,C234)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SUMIFS(RAB!$F$14:$F$233,RAB!$C$14:$C$233,C235)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SUMIFS(RAB!$F$14:$F$233,RAB!$C$14:$C$233,C236)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SUMIFS(RAB!$F$14:$F$233,RAB!$C$14:$C$233,C237)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SUMIFS(RAB!$F$14:$F$233,RAB!$C$14:$C$233,C238)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SUMIFS(RAB!$F$14:$F$233,RAB!$C$14:$C$233,C239)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SUMIFS(RAB!$F$14:$F$233,RAB!$C$14:$C$233,C240)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SUMIFS(RAB!$F$14:$F$233,RAB!$C$14:$C$233,C241)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SUMIFS(RAB!$F$14:$F$233,RAB!$C$14:$C$233,C242)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SUMIFS(RAB!$F$14:$F$233,RAB!$C$14:$C$233,C243)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SUMIFS(RAB!$F$14:$F$233,RAB!$C$14:$C$233,C244)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SUMIFS(RAB!$F$14:$F$233,RAB!$C$14:$C$233,C245)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SUMIFS(RAB!$F$14:$F$233,RAB!$C$14:$C$233,C246)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SUMIFS(RAB!$F$14:$F$233,RAB!$C$14:$C$233,C247)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SUMIFS(RAB!$F$14:$F$233,RAB!$C$14:$C$233,C248)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SUMIFS(RAB!$F$14:$F$233,RAB!$C$14:$C$233,C249)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SUMIFS(RAB!$F$14:$F$233,RAB!$C$14:$C$233,C250)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SUMIFS(RAB!$F$14:$F$233,RAB!$C$14:$C$233,C251)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SUMIFS(RAB!$F$14:$F$233,RAB!$C$14:$C$233,C252)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SUMIFS(RAB!$F$14:$F$233,RAB!$C$14:$C$233,C253)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SUMIFS(RAB!$F$14:$F$233,RAB!$C$14:$C$233,C254)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SUMIFS(RAB!$F$14:$F$233,RAB!$C$14:$C$233,C255)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SUMIFS(RAB!$F$14:$F$233,RAB!$C$14:$C$233,C256)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SUMIFS(RAB!$F$14:$F$233,RAB!$C$14:$C$233,C257)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SUMIFS(RAB!$F$14:$F$233,RAB!$C$14:$C$233,C258)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SUMIFS(RAB!$F$14:$F$233,RAB!$C$14:$C$233,C259)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SUMIFS(RAB!$F$14:$F$233,RAB!$C$14:$C$233,C260)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SUMIFS(RAB!$F$14:$F$233,RAB!$C$14:$C$233,C261)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SUMIFS(RAB!$F$14:$F$233,RAB!$C$14:$C$233,C262)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SUMIFS(RAB!$F$14:$F$233,RAB!$C$14:$C$233,C263)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SUMIFS(RAB!$F$14:$F$233,RAB!$C$14:$C$233,C264)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SUMIFS(RAB!$F$14:$F$233,RAB!$C$14:$C$233,C265)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SUMIFS(RAB!$F$14:$F$233,RAB!$C$14:$C$233,C266)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SUMIFS(RAB!$F$14:$F$233,RAB!$C$14:$C$233,C267)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SUMIFS(RAB!$F$14:$F$233,RAB!$C$14:$C$233,C268)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SUMIFS(RAB!$F$14:$F$233,RAB!$C$14:$C$233,C269)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SUMIFS(RAB!$F$14:$F$233,RAB!$C$14:$C$233,C270)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SUMIFS(RAB!$F$14:$F$233,RAB!$C$14:$C$233,C271)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SUMIFS(RAB!$F$14:$F$233,RAB!$C$14:$C$233,C272)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SUMIFS(RAB!$F$14:$F$233,RAB!$C$14:$C$233,C273)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SUMIFS(RAB!$F$14:$F$233,RAB!$C$14:$C$233,C274)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SUMIFS(RAB!$F$14:$F$233,RAB!$C$14:$C$233,C275)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SUMIFS(RAB!$F$14:$F$233,RAB!$C$14:$C$233,C276)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SUMIFS(RAB!$F$14:$F$233,RAB!$C$14:$C$233,C277)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SUMIFS(RAB!$F$14:$F$233,RAB!$C$14:$C$233,C278)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SUMIFS(RAB!$F$14:$F$233,RAB!$C$14:$C$233,C279)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SUMIFS(RAB!$F$14:$F$233,RAB!$C$14:$C$233,C280)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SUMIFS(RAB!$F$14:$F$233,RAB!$C$14:$C$233,C281)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SUMIFS(RAB!$F$14:$F$233,RAB!$C$14:$C$233,C282)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SUMIFS(RAB!$F$14:$F$233,RAB!$C$14:$C$233,C283)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SUMIFS(RAB!$F$14:$F$233,RAB!$C$14:$C$233,C284)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SUMIFS(RAB!$F$14:$F$233,RAB!$C$14:$C$233,C285)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SUMIFS(RAB!$F$14:$F$233,RAB!$C$14:$C$233,C286)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SUMIFS(RAB!$F$14:$F$233,RAB!$C$14:$C$233,C287)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SUMIFS(RAB!$F$14:$F$233,RAB!$C$14:$C$233,C288)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SUMIFS(RAB!$F$14:$F$233,RAB!$C$14:$C$233,C289)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SUMIFS(RAB!$F$14:$F$233,RAB!$C$14:$C$233,C290)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SUMIFS(RAB!$F$14:$F$233,RAB!$C$14:$C$233,C291)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SUMIFS(RAB!$F$14:$F$233,RAB!$C$14:$C$233,C292)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SUMIFS(RAB!$F$14:$F$233,RAB!$C$14:$C$233,C293)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SUMIFS(RAB!$F$14:$F$233,RAB!$C$14:$C$233,C294)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SUMIFS(RAB!$F$14:$F$233,RAB!$C$14:$C$233,C295)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SUMIFS(RAB!$F$14:$F$233,RAB!$C$14:$C$233,C296)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SUMIFS(RAB!$F$14:$F$233,RAB!$C$14:$C$233,C297)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SUMIFS(RAB!$F$14:$F$233,RAB!$C$14:$C$233,C298)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SUMIFS(RAB!$F$14:$F$233,RAB!$C$14:$C$233,C299)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SUMIFS(RAB!$F$14:$F$233,RAB!$C$14:$C$233,C300)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SUMIFS(RAB!$F$14:$F$233,RAB!$C$14:$C$233,C301)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SUMIFS(RAB!$F$14:$F$233,RAB!$C$14:$C$233,C302)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SUMIFS(RAB!$F$14:$F$233,RAB!$C$14:$C$233,C303)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SUMIFS(RAB!$F$14:$F$233,RAB!$C$14:$C$233,C304)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SUMIFS(RAB!$F$14:$F$233,RAB!$C$14:$C$233,C305)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SUMIFS(RAB!$F$14:$F$233,RAB!$C$14:$C$233,C306)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SUMIFS(RAB!$F$14:$F$233,RAB!$C$14:$C$233,C307)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SUMIFS(RAB!$F$14:$F$233,RAB!$C$14:$C$233,C308)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SUMIFS(RAB!$F$14:$F$233,RAB!$C$14:$C$233,C309)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SUMIFS(RAB!$F$14:$F$233,RAB!$C$14:$C$233,C310)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SUMIFS(RAB!$F$14:$F$233,RAB!$C$14:$C$233,C311)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SUMIFS(RAB!$F$14:$F$233,RAB!$C$14:$C$233,C312)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SUMIFS(RAB!$F$14:$F$233,RAB!$C$14:$C$233,C313)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SUMIFS(RAB!$F$14:$F$233,RAB!$C$14:$C$233,C314)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SUMIFS(RAB!$F$14:$F$233,RAB!$C$14:$C$233,C315)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SUMIFS(RAB!$F$14:$F$233,RAB!$C$14:$C$233,C316)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SUMIFS(RAB!$F$14:$F$233,RAB!$C$14:$C$233,C317)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SUMIFS(RAB!$F$14:$F$233,RAB!$C$14:$C$233,C318)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SUMIFS(RAB!$F$14:$F$233,RAB!$C$14:$C$233,C319)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SUMIFS(RAB!$F$14:$F$233,RAB!$C$14:$C$233,C320)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SUMIFS(RAB!$F$14:$F$233,RAB!$C$14:$C$233,C321)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SUMIFS(RAB!$F$14:$F$233,RAB!$C$14:$C$233,C322)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SUMIFS(RAB!$F$14:$F$233,RAB!$C$14:$C$233,C323)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SUMIFS(RAB!$F$14:$F$233,RAB!$C$14:$C$233,C324)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SUMIFS(RAB!$F$14:$F$233,RAB!$C$14:$C$233,C325)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SUMIFS(RAB!$F$14:$F$233,RAB!$C$14:$C$233,C326)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SUMIFS(RAB!$F$14:$F$233,RAB!$C$14:$C$233,C327)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SUMIFS(RAB!$F$14:$F$233,RAB!$C$14:$C$233,C328)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SUMIFS(RAB!$F$14:$F$233,RAB!$C$14:$C$233,C329)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SUMIFS(RAB!$F$14:$F$233,RAB!$C$14:$C$233,C330)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SUMIFS(RAB!$F$14:$F$233,RAB!$C$14:$C$233,C331)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SUMIFS(RAB!$F$14:$F$233,RAB!$C$14:$C$233,C332)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SUMIFS(RAB!$F$14:$F$233,RAB!$C$14:$C$233,C333)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SUMIFS(RAB!$F$14:$F$233,RAB!$C$14:$C$233,C334)</f>
        <v>21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SUMIFS(RAB!$F$14:$F$233,RAB!$C$14:$C$233,C335)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SUMIFS(RAB!$F$14:$F$233,RAB!$C$14:$C$233,C336)</f>
        <v>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SUMIFS(RAB!$F$14:$F$233,RAB!$C$14:$C$233,C337)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SUMIFS(RAB!$F$14:$F$233,RAB!$C$14:$C$233,C338)</f>
        <v>1269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SUMIFS(RAB!$F$14:$F$233,RAB!$C$14:$C$233,C339)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SUMIFS(RAB!$F$14:$F$233,RAB!$C$14:$C$233,C340)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SUMIFS(RAB!$F$14:$F$233,RAB!$C$14:$C$233,C341)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SUMIFS(RAB!$F$14:$F$233,RAB!$C$14:$C$233,C342)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SUMIFS(RAB!$F$14:$F$233,RAB!$C$14:$C$233,C343)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SUMIFS(RAB!$F$14:$F$233,RAB!$C$14:$C$233,C344)</f>
        <v>20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SUMIFS(RAB!$F$14:$F$233,RAB!$C$14:$C$233,C345)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SUMIFS(RAB!$F$14:$F$233,RAB!$C$14:$C$233,C346)</f>
        <v>63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SUMIFS(RAB!$F$14:$F$233,RAB!$C$14:$C$233,C347)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SUMIFS(RAB!$F$14:$F$233,RAB!$C$14:$C$233,C348)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SUMIFS(RAB!$F$14:$F$233,RAB!$C$14:$C$233,C349)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SUMIFS(RAB!$F$14:$F$233,RAB!$C$14:$C$233,C350)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SUMIFS(RAB!$F$14:$F$233,RAB!$C$14:$C$233,C351)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SUMIFS(RAB!$F$14:$F$233,RAB!$C$14:$C$233,C352)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SUMIFS(RAB!$F$14:$F$233,RAB!$C$14:$C$233,C353)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SUMIFS(RAB!$F$14:$F$233,RAB!$C$14:$C$233,C354)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SUMIFS(RAB!$F$14:$F$233,RAB!$C$14:$C$233,C355)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SUMIFS(RAB!$F$14:$F$233,RAB!$C$14:$C$233,C356)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SUMIFS(RAB!$F$14:$F$233,RAB!$C$14:$C$233,C357)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SUMIFS(RAB!$F$14:$F$233,RAB!$C$14:$C$233,C358)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SUMIFS(RAB!$F$14:$F$233,RAB!$C$14:$C$233,C359)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SUMIFS(RAB!$F$14:$F$233,RAB!$C$14:$C$233,C360)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SUMIFS(RAB!$F$14:$F$233,RAB!$C$14:$C$233,C361)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SUMIFS(RAB!$F$14:$F$233,RAB!$C$14:$C$233,C362)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SUMIFS(RAB!$F$14:$F$233,RAB!$C$14:$C$233,C363)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SUMIFS(RAB!$F$14:$F$233,RAB!$C$14:$C$233,C364)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SUMIFS(RAB!$F$14:$F$233,RAB!$C$14:$C$233,C365)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SUMIFS(RAB!$F$14:$F$233,RAB!$C$14:$C$233,C366)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SUMIFS(RAB!$F$14:$F$233,RAB!$C$14:$C$233,C367)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SUMIFS(RAB!$F$14:$F$233,RAB!$C$14:$C$233,C368)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SUMIFS(RAB!$F$14:$F$233,RAB!$C$14:$C$233,C369)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SUMIFS(RAB!$F$14:$F$233,RAB!$C$14:$C$233,C370)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SUMIFS(RAB!$F$14:$F$233,RAB!$C$14:$C$233,C371)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SUMIFS(RAB!$F$14:$F$233,RAB!$C$14:$C$233,C372)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SUMIFS(RAB!$F$14:$F$233,RAB!$C$14:$C$233,C373)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4" priority="5" operator="equal">
      <formula>0</formula>
    </cfRule>
  </conditionalFormatting>
  <conditionalFormatting sqref="C16:C165">
    <cfRule type="cellIs" dxfId="53" priority="4" stopIfTrue="1" operator="equal">
      <formula>0</formula>
    </cfRule>
  </conditionalFormatting>
  <conditionalFormatting sqref="C16:E165">
    <cfRule type="cellIs" dxfId="52" priority="1" operator="equal">
      <formula>0</formula>
    </cfRule>
  </conditionalFormatting>
  <conditionalFormatting sqref="D224:F373">
    <cfRule type="cellIs" dxfId="51" priority="8" operator="equal">
      <formula>0</formula>
    </cfRule>
  </conditionalFormatting>
  <conditionalFormatting sqref="E1:E3 G1:G115 E6:E15 H12:I12 N13 F14:F15 H14:K115 E166:K166 G166:G223 E167:F167 H167:K167">
    <cfRule type="cellIs" dxfId="50" priority="43" stopIfTrue="1" operator="equal">
      <formula>0</formula>
    </cfRule>
  </conditionalFormatting>
  <conditionalFormatting sqref="E171:E65536">
    <cfRule type="cellIs" dxfId="49" priority="9" stopIfTrue="1" operator="equal">
      <formula>0</formula>
    </cfRule>
  </conditionalFormatting>
  <conditionalFormatting sqref="G224">
    <cfRule type="cellIs" dxfId="48" priority="10" operator="equal">
      <formula>0</formula>
    </cfRule>
  </conditionalFormatting>
  <conditionalFormatting sqref="G225:G65536">
    <cfRule type="cellIs" dxfId="47" priority="14" stopIfTrue="1" operator="equal">
      <formula>0</formula>
    </cfRule>
  </conditionalFormatting>
  <conditionalFormatting sqref="R14:T166 G116:K165">
    <cfRule type="cellIs" dxfId="4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7"/>
    </row>
    <row r="4" spans="4:4" ht="57" customHeight="1">
      <c r="D4" s="457">
        <v>3</v>
      </c>
    </row>
    <row r="5" spans="4:4" ht="57" customHeight="1">
      <c r="D5" s="45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04" activePane="bottomRight" state="frozen"/>
      <selection activeCell="D209" sqref="D209"/>
      <selection pane="topRight" activeCell="D209" sqref="D209"/>
      <selection pane="bottomLeft" activeCell="D209" sqref="D209"/>
      <selection pane="bottomRight" activeCell="K1035" sqref="K10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5" t="s">
        <v>41</v>
      </c>
      <c r="C2" s="57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6" t="s">
        <v>23</v>
      </c>
      <c r="C4" s="577" t="s">
        <v>1012</v>
      </c>
      <c r="D4" s="577" t="s">
        <v>42</v>
      </c>
      <c r="E4" s="576" t="s">
        <v>43</v>
      </c>
      <c r="F4" s="108" t="s">
        <v>1604</v>
      </c>
      <c r="G4" s="108" t="s">
        <v>1603</v>
      </c>
      <c r="H4" s="57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6"/>
      <c r="C5" s="577"/>
      <c r="D5" s="577"/>
      <c r="E5" s="576"/>
      <c r="F5" s="93"/>
      <c r="G5" s="93"/>
      <c r="H5" s="574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5" priority="138" operator="equal">
      <formula>0</formula>
    </cfRule>
  </conditionalFormatting>
  <conditionalFormatting sqref="B8:C135">
    <cfRule type="cellIs" dxfId="44" priority="51" operator="equal">
      <formula>0</formula>
    </cfRule>
  </conditionalFormatting>
  <conditionalFormatting sqref="B150:G1493">
    <cfRule type="cellIs" dxfId="43" priority="1" operator="equal">
      <formula>0</formula>
    </cfRule>
  </conditionalFormatting>
  <conditionalFormatting sqref="C143:G149">
    <cfRule type="cellIs" dxfId="42" priority="5" operator="equal">
      <formula>0</formula>
    </cfRule>
  </conditionalFormatting>
  <conditionalFormatting sqref="D9:G142">
    <cfRule type="cellIs" dxfId="41" priority="11" operator="equal">
      <formula>0</formula>
    </cfRule>
  </conditionalFormatting>
  <conditionalFormatting sqref="D1:IV5 A1:C7 D6:K6 H1455:IV1457 H1458:XFD1485 H1486:H1493 I1486:XFD1494 A1494:H1494 A1495:XFD65536">
    <cfRule type="cellIs" dxfId="40" priority="163" operator="equal">
      <formula>0</formula>
    </cfRule>
  </conditionalFormatting>
  <conditionalFormatting sqref="D7:IV8 C136:C142 B136:B149">
    <cfRule type="cellIs" dxfId="39" priority="62" operator="equal">
      <formula>0</formula>
    </cfRule>
  </conditionalFormatting>
  <conditionalFormatting sqref="H9:H1418">
    <cfRule type="cellIs" dxfId="38" priority="129" operator="equal">
      <formula>0</formula>
    </cfRule>
  </conditionalFormatting>
  <conditionalFormatting sqref="H1419:I1454">
    <cfRule type="cellIs" dxfId="37" priority="128" operator="equal">
      <formula>0</formula>
    </cfRule>
  </conditionalFormatting>
  <conditionalFormatting sqref="I108:I1418">
    <cfRule type="cellIs" dxfId="36" priority="125" operator="equal">
      <formula>0</formula>
    </cfRule>
  </conditionalFormatting>
  <conditionalFormatting sqref="J108:IV1454">
    <cfRule type="cellIs" dxfId="35" priority="139" operator="equal">
      <formula>0</formula>
    </cfRule>
  </conditionalFormatting>
  <conditionalFormatting sqref="M6:IV6">
    <cfRule type="cellIs" dxfId="3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R13" sqref="R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439"/>
      <c r="G4" s="439"/>
      <c r="H4" s="440"/>
      <c r="I4" s="614" t="s">
        <v>1533</v>
      </c>
      <c r="J4" s="615"/>
      <c r="K4" s="615"/>
      <c r="L4" s="616"/>
    </row>
    <row r="5" spans="1:12" ht="34.5" customHeight="1">
      <c r="A5" s="204"/>
      <c r="B5" s="442" t="s">
        <v>1379</v>
      </c>
      <c r="C5" s="274" t="s">
        <v>9</v>
      </c>
      <c r="D5" s="583" t="str">
        <f>DATA!D14</f>
        <v>BATCHING PLAN MJA</v>
      </c>
      <c r="E5" s="584"/>
      <c r="F5" s="208"/>
      <c r="G5" s="208"/>
      <c r="I5" s="443" t="s">
        <v>1379</v>
      </c>
      <c r="J5" s="274" t="s">
        <v>9</v>
      </c>
      <c r="K5" s="617" t="str">
        <f>D5</f>
        <v>BATCHING PLAN MJA</v>
      </c>
      <c r="L5" s="618"/>
    </row>
    <row r="6" spans="1:12" ht="31.5" customHeight="1">
      <c r="A6" s="204"/>
      <c r="B6" s="442" t="s">
        <v>1529</v>
      </c>
      <c r="C6" s="274" t="s">
        <v>9</v>
      </c>
      <c r="D6" s="592">
        <f>DATA!D17*1000</f>
        <v>0</v>
      </c>
      <c r="E6" s="593"/>
      <c r="F6" s="208"/>
      <c r="G6" s="208"/>
      <c r="I6" s="443" t="s">
        <v>1530</v>
      </c>
      <c r="J6" s="274" t="s">
        <v>9</v>
      </c>
      <c r="K6" s="619">
        <f>DATA!D20*1000</f>
        <v>105000</v>
      </c>
      <c r="L6" s="620"/>
    </row>
    <row r="7" spans="1:12" ht="30.75" customHeight="1">
      <c r="A7" s="204"/>
      <c r="B7" s="442" t="s">
        <v>1441</v>
      </c>
      <c r="C7" s="274" t="s">
        <v>9</v>
      </c>
      <c r="D7" s="590">
        <f>DATA!D18</f>
        <v>1</v>
      </c>
      <c r="E7" s="591"/>
      <c r="F7" s="441" t="s">
        <v>1453</v>
      </c>
      <c r="I7" s="443" t="s">
        <v>1441</v>
      </c>
      <c r="J7" s="274" t="s">
        <v>9</v>
      </c>
      <c r="K7" s="621">
        <f>DATA!D21</f>
        <v>3</v>
      </c>
      <c r="L7" s="622"/>
    </row>
    <row r="8" spans="1:12" ht="51" customHeight="1">
      <c r="A8" s="204"/>
      <c r="B8" s="442" t="s">
        <v>1442</v>
      </c>
      <c r="C8" s="274" t="s">
        <v>9</v>
      </c>
      <c r="D8" s="590">
        <f>DATA!D19</f>
        <v>220</v>
      </c>
      <c r="E8" s="591"/>
      <c r="F8" s="441" t="s">
        <v>1453</v>
      </c>
      <c r="G8" s="436">
        <v>220</v>
      </c>
      <c r="I8" s="443" t="s">
        <v>1442</v>
      </c>
      <c r="J8" s="274" t="s">
        <v>9</v>
      </c>
      <c r="K8" s="621">
        <f>DATA!D22</f>
        <v>380</v>
      </c>
      <c r="L8" s="622"/>
    </row>
    <row r="9" spans="1:12" ht="30" customHeight="1" thickBot="1">
      <c r="A9" s="204"/>
      <c r="B9" s="448" t="s">
        <v>1541</v>
      </c>
      <c r="C9" s="438" t="s">
        <v>9</v>
      </c>
      <c r="D9" s="585">
        <f>IF(D7=1,D6/(380/3^0.5),(D6/(380*3^0.5)))</f>
        <v>0</v>
      </c>
      <c r="E9" s="586"/>
      <c r="F9" s="207"/>
      <c r="G9" s="437">
        <v>380</v>
      </c>
      <c r="I9" s="449" t="s">
        <v>1541</v>
      </c>
      <c r="J9" s="438" t="s">
        <v>9</v>
      </c>
      <c r="K9" s="623">
        <f>IF(K7=1,K6/(380/3^0.5),(K6/(380*3^0.5)))</f>
        <v>159.53099543397556</v>
      </c>
      <c r="L9" s="624"/>
    </row>
    <row r="10" spans="1:12" ht="24.75" customHeight="1">
      <c r="B10" s="450"/>
      <c r="C10" s="447"/>
      <c r="D10" s="451"/>
      <c r="E10" s="451"/>
      <c r="F10" s="207"/>
      <c r="G10" s="437"/>
      <c r="I10" s="450"/>
      <c r="J10" s="447"/>
      <c r="K10" s="451"/>
      <c r="L10" s="451"/>
    </row>
    <row r="11" spans="1:12" ht="16.5" thickBot="1">
      <c r="B11" s="444" t="s">
        <v>1542</v>
      </c>
      <c r="I11" s="444" t="s">
        <v>1536</v>
      </c>
    </row>
    <row r="12" spans="1:12" ht="34.5" customHeight="1">
      <c r="A12" s="204"/>
      <c r="B12" s="472" t="s">
        <v>1534</v>
      </c>
      <c r="C12" s="466" t="s">
        <v>9</v>
      </c>
      <c r="D12" s="594" t="s">
        <v>1629</v>
      </c>
      <c r="E12" s="595"/>
      <c r="F12" s="208"/>
      <c r="G12" s="208"/>
      <c r="I12" s="465" t="s">
        <v>1534</v>
      </c>
      <c r="J12" s="466" t="s">
        <v>9</v>
      </c>
      <c r="K12" s="594" t="s">
        <v>1629</v>
      </c>
      <c r="L12" s="595"/>
    </row>
    <row r="13" spans="1:12" ht="31.5" customHeight="1">
      <c r="A13" s="204"/>
      <c r="B13" s="473" t="s">
        <v>1380</v>
      </c>
      <c r="C13" s="453" t="s">
        <v>9</v>
      </c>
      <c r="D13" s="598"/>
      <c r="E13" s="599"/>
      <c r="F13" s="208"/>
      <c r="G13" s="208"/>
      <c r="I13" s="467" t="s">
        <v>1380</v>
      </c>
      <c r="J13" s="453" t="s">
        <v>9</v>
      </c>
      <c r="K13" s="598" t="s">
        <v>1622</v>
      </c>
      <c r="L13" s="599"/>
    </row>
    <row r="14" spans="1:12" ht="30.75" customHeight="1">
      <c r="A14" s="204"/>
      <c r="B14" s="473" t="s">
        <v>1535</v>
      </c>
      <c r="C14" s="453" t="s">
        <v>9</v>
      </c>
      <c r="D14" s="606"/>
      <c r="E14" s="607"/>
      <c r="F14" s="441" t="s">
        <v>1453</v>
      </c>
      <c r="G14" s="445">
        <v>50</v>
      </c>
      <c r="I14" s="467" t="s">
        <v>1535</v>
      </c>
      <c r="J14" s="453" t="s">
        <v>9</v>
      </c>
      <c r="K14" s="608">
        <v>160</v>
      </c>
      <c r="L14" s="609"/>
    </row>
    <row r="15" spans="1:12" ht="57" customHeight="1">
      <c r="A15" s="204"/>
      <c r="B15" s="473" t="s">
        <v>1441</v>
      </c>
      <c r="C15" s="453" t="s">
        <v>9</v>
      </c>
      <c r="D15" s="459"/>
      <c r="E15" s="468"/>
      <c r="F15" s="441" t="s">
        <v>1453</v>
      </c>
      <c r="G15" s="445">
        <v>100</v>
      </c>
      <c r="I15" s="467" t="s">
        <v>1441</v>
      </c>
      <c r="J15" s="453" t="s">
        <v>9</v>
      </c>
      <c r="K15" s="459">
        <v>3</v>
      </c>
      <c r="L15" s="468"/>
    </row>
    <row r="16" spans="1:12" ht="44.25" customHeight="1">
      <c r="A16" s="204"/>
      <c r="B16" s="473" t="s">
        <v>1545</v>
      </c>
      <c r="C16" s="453"/>
      <c r="D16" s="610">
        <v>0</v>
      </c>
      <c r="E16" s="611"/>
      <c r="F16" s="441"/>
      <c r="G16" s="445">
        <v>160</v>
      </c>
      <c r="I16" s="467" t="s">
        <v>1537</v>
      </c>
      <c r="J16" s="453" t="s">
        <v>9</v>
      </c>
      <c r="K16" s="612">
        <f>K9</f>
        <v>159.53099543397556</v>
      </c>
      <c r="L16" s="613"/>
    </row>
    <row r="17" spans="1:12" ht="34.5" customHeight="1">
      <c r="A17" s="204"/>
      <c r="B17" s="473" t="s">
        <v>1538</v>
      </c>
      <c r="C17" s="453" t="s">
        <v>9</v>
      </c>
      <c r="D17" s="600">
        <f>IF(D15=1,D14/(20/3^0.5),(D14/(20*3^0.5)))</f>
        <v>0</v>
      </c>
      <c r="E17" s="601"/>
      <c r="F17" s="441" t="s">
        <v>1453</v>
      </c>
      <c r="G17" s="446">
        <v>200</v>
      </c>
      <c r="I17" s="467" t="s">
        <v>1538</v>
      </c>
      <c r="J17" s="453" t="s">
        <v>9</v>
      </c>
      <c r="K17" s="604">
        <f>IF(K15=1,K14/(20/3^0.5),(K14/(20*3^0.5)))</f>
        <v>4.6188021535170067</v>
      </c>
      <c r="L17" s="605"/>
    </row>
    <row r="18" spans="1:12" ht="34.5" customHeight="1">
      <c r="A18" s="204"/>
      <c r="B18" s="473" t="s">
        <v>1539</v>
      </c>
      <c r="C18" s="453" t="s">
        <v>9</v>
      </c>
      <c r="D18" s="600">
        <f>IF(D15=1,D14/(380/3^0.5),(D14/(380*3^0.5)))*1000</f>
        <v>0</v>
      </c>
      <c r="E18" s="601"/>
      <c r="F18" s="441" t="s">
        <v>1453</v>
      </c>
      <c r="G18" s="446">
        <v>250</v>
      </c>
      <c r="I18" s="467" t="s">
        <v>1539</v>
      </c>
      <c r="J18" s="453" t="s">
        <v>9</v>
      </c>
      <c r="K18" s="604">
        <f>IF(K15=1,K14/(380/3^0.5),(K14/(380*3^0.5)))*1000</f>
        <v>243.0948501851056</v>
      </c>
      <c r="L18" s="605"/>
    </row>
    <row r="19" spans="1:12" ht="30" customHeight="1">
      <c r="A19" s="204"/>
      <c r="B19" s="474" t="s">
        <v>1531</v>
      </c>
      <c r="C19" s="452" t="s">
        <v>9</v>
      </c>
      <c r="D19" s="600">
        <f>IF(D15=1,D14/(380/3^0.5),(D14/(380*3^0.5)))</f>
        <v>0</v>
      </c>
      <c r="E19" s="601"/>
      <c r="F19" s="207"/>
      <c r="G19" s="437"/>
      <c r="I19" s="469" t="s">
        <v>1531</v>
      </c>
      <c r="J19" s="452" t="s">
        <v>9</v>
      </c>
      <c r="K19" s="604">
        <f>IF(K15=1,K14/(380/3^0.5),(K14/(380*3^0.5)))</f>
        <v>0.2430948501851056</v>
      </c>
      <c r="L19" s="605"/>
    </row>
    <row r="20" spans="1:12" ht="30" customHeight="1" thickBot="1">
      <c r="A20" s="204"/>
      <c r="B20" s="475" t="s">
        <v>1540</v>
      </c>
      <c r="C20" s="471" t="s">
        <v>9</v>
      </c>
      <c r="D20" s="596" t="e">
        <f>D16/D18</f>
        <v>#DIV/0!</v>
      </c>
      <c r="E20" s="597"/>
      <c r="F20" s="207"/>
      <c r="G20" s="437"/>
      <c r="I20" s="470" t="s">
        <v>1531</v>
      </c>
      <c r="J20" s="471" t="s">
        <v>9</v>
      </c>
      <c r="K20" s="602">
        <f>K16/K18</f>
        <v>0.65625</v>
      </c>
      <c r="L20" s="603"/>
    </row>
    <row r="21" spans="1:12" ht="9.75" customHeight="1">
      <c r="A21" s="204"/>
      <c r="B21" s="460" t="s">
        <v>1540</v>
      </c>
      <c r="C21" s="461" t="s">
        <v>9</v>
      </c>
      <c r="D21" s="581">
        <v>1</v>
      </c>
      <c r="E21" s="581"/>
      <c r="F21" s="462"/>
      <c r="G21" s="463"/>
      <c r="H21" s="464"/>
      <c r="I21" s="460" t="s">
        <v>1531</v>
      </c>
      <c r="J21" s="461" t="s">
        <v>9</v>
      </c>
      <c r="K21" s="581">
        <v>1</v>
      </c>
      <c r="L21" s="581"/>
    </row>
    <row r="22" spans="1:12" ht="6.75" customHeight="1">
      <c r="B22" s="450"/>
      <c r="C22" s="447"/>
      <c r="D22" s="458"/>
      <c r="E22" s="458"/>
      <c r="F22" s="207"/>
      <c r="G22" s="437"/>
      <c r="J22" s="447"/>
      <c r="K22" s="458"/>
      <c r="L22" s="458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55"/>
    </row>
    <row r="27" spans="1:12">
      <c r="D27" s="456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3" priority="5" stopIfTrue="1" operator="greaterThan">
      <formula>0.89</formula>
    </cfRule>
    <cfRule type="cellIs" dxfId="3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32" zoomScaleNormal="100" workbookViewId="0">
      <selection activeCell="T11" sqref="T11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625"/>
      <c r="C1" s="625"/>
      <c r="D1" s="625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84">
        <v>1084.1250458865841</v>
      </c>
      <c r="F5" s="479" t="s">
        <v>1605</v>
      </c>
      <c r="K5" s="478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9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105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81375000</v>
      </c>
    </row>
    <row r="10" spans="2:11" ht="20.100000000000001" customHeight="1">
      <c r="B10" s="288" t="s">
        <v>1446</v>
      </c>
      <c r="C10" s="289" t="s">
        <v>9</v>
      </c>
      <c r="D10" s="295">
        <f ca="1">RAB!K239</f>
        <v>199633031.47639999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3992660.629528</v>
      </c>
    </row>
    <row r="12" spans="2:11" ht="9" customHeight="1">
      <c r="B12" s="626"/>
      <c r="C12" s="626"/>
      <c r="D12" s="626"/>
    </row>
    <row r="13" spans="2:11" ht="15.75" customHeight="1">
      <c r="B13" s="296"/>
      <c r="C13" s="296"/>
      <c r="D13" s="296"/>
    </row>
    <row r="14" spans="2:11" ht="33.75" customHeight="1">
      <c r="B14" s="412" t="s">
        <v>1379</v>
      </c>
      <c r="C14" s="413" t="s">
        <v>9</v>
      </c>
      <c r="D14" s="418" t="s">
        <v>1649</v>
      </c>
      <c r="E14" s="297" t="s">
        <v>1453</v>
      </c>
    </row>
    <row r="15" spans="2:11" ht="20.100000000000001" customHeight="1">
      <c r="B15" s="414" t="s">
        <v>1447</v>
      </c>
      <c r="C15" s="415" t="s">
        <v>9</v>
      </c>
      <c r="D15" s="419" t="s">
        <v>1606</v>
      </c>
      <c r="E15" s="297" t="s">
        <v>1453</v>
      </c>
    </row>
    <row r="16" spans="2:11" ht="20.100000000000001" customHeight="1">
      <c r="B16" s="414" t="s">
        <v>1448</v>
      </c>
      <c r="C16" s="415" t="s">
        <v>9</v>
      </c>
      <c r="D16" s="419" t="s">
        <v>1451</v>
      </c>
      <c r="E16" s="297" t="s">
        <v>1453</v>
      </c>
    </row>
    <row r="17" spans="2:5" ht="20.100000000000001" customHeight="1">
      <c r="B17" s="414" t="s">
        <v>1449</v>
      </c>
      <c r="C17" s="415" t="s">
        <v>9</v>
      </c>
      <c r="D17" s="420">
        <v>0</v>
      </c>
      <c r="E17" s="297" t="s">
        <v>1453</v>
      </c>
    </row>
    <row r="18" spans="2:5" ht="20.100000000000001" hidden="1" customHeight="1">
      <c r="B18" s="414" t="s">
        <v>1543</v>
      </c>
      <c r="C18" s="415"/>
      <c r="D18" s="420">
        <f>IF((D17&lt;=11),1,3)</f>
        <v>1</v>
      </c>
      <c r="E18" s="297"/>
    </row>
    <row r="19" spans="2:5" ht="20.100000000000001" hidden="1" customHeight="1">
      <c r="B19" s="414" t="s">
        <v>1544</v>
      </c>
      <c r="C19" s="415"/>
      <c r="D19" s="420">
        <f>IF((D17&lt;=11),220,380)</f>
        <v>220</v>
      </c>
      <c r="E19" s="297"/>
    </row>
    <row r="20" spans="2:5" ht="20.100000000000001" customHeight="1">
      <c r="B20" s="414" t="s">
        <v>1450</v>
      </c>
      <c r="C20" s="415" t="s">
        <v>9</v>
      </c>
      <c r="D20" s="420">
        <v>105</v>
      </c>
      <c r="E20" s="297" t="s">
        <v>1453</v>
      </c>
    </row>
    <row r="21" spans="2:5" ht="20.100000000000001" hidden="1" customHeight="1">
      <c r="B21" s="414" t="s">
        <v>1543</v>
      </c>
      <c r="C21" s="415"/>
      <c r="D21" s="420">
        <f>IF((D20&lt;=11),1,3)</f>
        <v>3</v>
      </c>
      <c r="E21" s="297"/>
    </row>
    <row r="22" spans="2:5" ht="20.100000000000001" hidden="1" customHeight="1">
      <c r="B22" s="414" t="s">
        <v>1544</v>
      </c>
      <c r="C22" s="415"/>
      <c r="D22" s="420">
        <f>IF((D20&lt;=11),220,380)</f>
        <v>380</v>
      </c>
      <c r="E22" s="297"/>
    </row>
    <row r="23" spans="2:5" ht="20.100000000000001" customHeight="1">
      <c r="B23" s="414" t="s">
        <v>1353</v>
      </c>
      <c r="C23" s="415" t="s">
        <v>9</v>
      </c>
      <c r="D23" s="419">
        <v>1444.7</v>
      </c>
      <c r="E23" s="297" t="s">
        <v>1453</v>
      </c>
    </row>
    <row r="24" spans="2:5" ht="20.100000000000001" customHeight="1">
      <c r="B24" s="414" t="s">
        <v>1354</v>
      </c>
      <c r="C24" s="415" t="s">
        <v>9</v>
      </c>
      <c r="D24" s="419">
        <v>1444.7</v>
      </c>
      <c r="E24" s="297" t="s">
        <v>1453</v>
      </c>
    </row>
    <row r="25" spans="2:5" ht="20.100000000000001" customHeight="1">
      <c r="B25" s="414" t="s">
        <v>1452</v>
      </c>
      <c r="C25" s="415" t="s">
        <v>9</v>
      </c>
      <c r="D25" s="420">
        <v>775</v>
      </c>
      <c r="E25" s="297" t="s">
        <v>1453</v>
      </c>
    </row>
    <row r="26" spans="2:5" ht="20.100000000000001" customHeight="1">
      <c r="B26" s="416" t="s">
        <v>1355</v>
      </c>
      <c r="C26" s="417" t="s">
        <v>9</v>
      </c>
      <c r="D26" s="421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T38" sqref="T3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27" t="s">
        <v>1357</v>
      </c>
      <c r="C3" s="627"/>
      <c r="D3" s="627"/>
      <c r="E3" s="627"/>
      <c r="F3" s="302" t="str">
        <f>DATA!D14</f>
        <v>BATCHING PLAN MJA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28" t="s">
        <v>1349</v>
      </c>
      <c r="C5" s="628" t="s">
        <v>1358</v>
      </c>
      <c r="D5" s="629" t="s">
        <v>1359</v>
      </c>
      <c r="E5" s="629" t="s">
        <v>1360</v>
      </c>
      <c r="F5" s="628" t="s">
        <v>1361</v>
      </c>
      <c r="G5" s="628"/>
      <c r="H5" s="628"/>
      <c r="I5" s="628"/>
      <c r="J5" s="628"/>
      <c r="K5" s="628" t="s">
        <v>1362</v>
      </c>
      <c r="L5" s="628"/>
      <c r="M5" s="304"/>
      <c r="N5" s="632" t="s">
        <v>1363</v>
      </c>
      <c r="O5" s="629" t="s">
        <v>1364</v>
      </c>
      <c r="P5" s="629" t="s">
        <v>1365</v>
      </c>
      <c r="Q5" s="629" t="s">
        <v>1366</v>
      </c>
      <c r="R5" s="305"/>
      <c r="S5" s="306"/>
      <c r="T5" s="630" t="s">
        <v>1367</v>
      </c>
      <c r="U5" s="307"/>
    </row>
    <row r="6" spans="1:21" ht="20.100000000000001" customHeight="1">
      <c r="B6" s="628"/>
      <c r="C6" s="628"/>
      <c r="D6" s="628"/>
      <c r="E6" s="628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33"/>
      <c r="O6" s="628"/>
      <c r="P6" s="628"/>
      <c r="Q6" s="628"/>
      <c r="R6" s="305"/>
      <c r="S6" s="306"/>
      <c r="T6" s="628"/>
      <c r="U6" s="309"/>
    </row>
    <row r="7" spans="1:21" ht="20.100000000000001" customHeight="1">
      <c r="A7" s="310">
        <v>0</v>
      </c>
      <c r="B7" s="311">
        <v>2023</v>
      </c>
      <c r="C7" s="476">
        <f>DATA!D8*DATA!D26*8</f>
        <v>33600</v>
      </c>
      <c r="D7" s="313">
        <f>C7*4/24</f>
        <v>5600</v>
      </c>
      <c r="E7" s="313">
        <f>C7-D7</f>
        <v>28000</v>
      </c>
      <c r="F7" s="314">
        <f ca="1">DATA!D10/1000000</f>
        <v>199.63303147639999</v>
      </c>
      <c r="G7" s="315">
        <f ca="1">DATA!$D$11/1000000</f>
        <v>3.9926606295279998</v>
      </c>
      <c r="H7" s="315">
        <f>C7*DATA!$D$5/1000000</f>
        <v>36.426601541789225</v>
      </c>
      <c r="I7" s="315">
        <f>(C7*DATA!$D$5*DATA!$D$7)/1000000</f>
        <v>0.81959853469025756</v>
      </c>
      <c r="J7" s="313">
        <f ca="1">SUM(F7:I7)</f>
        <v>240.87189218240746</v>
      </c>
      <c r="K7" s="316">
        <f>DATA!D9/1000000</f>
        <v>81.375</v>
      </c>
      <c r="L7" s="313">
        <f>((D7*DATA!$D$23)/1000000)+((E7*DATA!$D$24)/1000000)</f>
        <v>48.541919999999998</v>
      </c>
      <c r="M7" s="313">
        <f>K7+L7</f>
        <v>129.91692</v>
      </c>
      <c r="N7" s="313">
        <f ca="1">M7-J7</f>
        <v>-110.95497218240746</v>
      </c>
      <c r="O7" s="311">
        <v>1</v>
      </c>
      <c r="P7" s="313">
        <f ca="1">O7*N7</f>
        <v>-110.95497218240746</v>
      </c>
      <c r="Q7" s="313">
        <f ca="1">P7</f>
        <v>-110.95497218240746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DATA!D8*DATA!D26*2</f>
        <v>8400</v>
      </c>
      <c r="D8" s="313">
        <f>C8*4/24</f>
        <v>1400</v>
      </c>
      <c r="E8" s="313">
        <f t="shared" ref="E8:E32" si="0">C8-D8</f>
        <v>7000</v>
      </c>
      <c r="F8" s="311"/>
      <c r="G8" s="315">
        <f ca="1">DATA!$D$11/1000000</f>
        <v>3.9926606295279998</v>
      </c>
      <c r="H8" s="315">
        <f>C8*DATA!$D$5/1000000</f>
        <v>9.1066503854473062</v>
      </c>
      <c r="I8" s="315">
        <f>(C8*DATA!$D$5*DATA!$D$7)/1000000</f>
        <v>0.20489963367256439</v>
      </c>
      <c r="J8" s="313">
        <f t="shared" ref="J8:J32" ca="1" si="1">SUM(F8:I8)</f>
        <v>13.304210648647871</v>
      </c>
      <c r="K8" s="318"/>
      <c r="L8" s="313">
        <f>((D8*DATA!$D$23)/1000000)+((E8*DATA!$D$24)/1000000)</f>
        <v>12.135479999999999</v>
      </c>
      <c r="M8" s="313">
        <f t="shared" ref="M8:M32" si="2">K8+L8</f>
        <v>12.135479999999999</v>
      </c>
      <c r="N8" s="313">
        <f ca="1">M8-J8</f>
        <v>-1.1687306486478715</v>
      </c>
      <c r="O8" s="312">
        <f>1/(1+'[93]Asumsi I'!$C$3)^(KKF!A8)</f>
        <v>0.89285714285714279</v>
      </c>
      <c r="P8" s="313">
        <f ca="1">O8*N8</f>
        <v>-1.0435095077213137</v>
      </c>
      <c r="Q8" s="313">
        <f ca="1">Q7+P8</f>
        <v>-111.99848169012877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8400</v>
      </c>
      <c r="D9" s="313">
        <f t="shared" ref="D9:D32" si="5">C9*4/24</f>
        <v>1400</v>
      </c>
      <c r="E9" s="313">
        <f t="shared" si="0"/>
        <v>7000</v>
      </c>
      <c r="F9" s="311"/>
      <c r="G9" s="315">
        <f ca="1">DATA!$D$11/1000000</f>
        <v>3.9926606295279998</v>
      </c>
      <c r="H9" s="315">
        <f>C9*DATA!$D$5/1000000</f>
        <v>9.1066503854473062</v>
      </c>
      <c r="I9" s="315">
        <f>(C9*DATA!$D$5*DATA!$D$7)/1000000</f>
        <v>0.20489963367256439</v>
      </c>
      <c r="J9" s="313">
        <f t="shared" ca="1" si="1"/>
        <v>13.304210648647871</v>
      </c>
      <c r="K9" s="313"/>
      <c r="L9" s="313">
        <f>((D9*DATA!$D$23)/1000000)+((E9*DATA!$D$24)/1000000)</f>
        <v>12.135479999999999</v>
      </c>
      <c r="M9" s="313">
        <f t="shared" si="2"/>
        <v>12.135479999999999</v>
      </c>
      <c r="N9" s="313">
        <f t="shared" ref="N9:N32" ca="1" si="6">M9-J9</f>
        <v>-1.1687306486478715</v>
      </c>
      <c r="O9" s="319">
        <f>1/(1+'[93]Asumsi I'!$C$3)^(KKF!A9)</f>
        <v>0.79719387755102034</v>
      </c>
      <c r="P9" s="313">
        <f t="shared" ref="P9:P32" ca="1" si="7">O9*N9</f>
        <v>-0.93170491760831586</v>
      </c>
      <c r="Q9" s="313">
        <f ca="1">Q8+P9</f>
        <v>-112.93018660773708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8400</v>
      </c>
      <c r="D10" s="313">
        <f t="shared" si="5"/>
        <v>1400</v>
      </c>
      <c r="E10" s="313">
        <f t="shared" si="0"/>
        <v>7000</v>
      </c>
      <c r="F10" s="311"/>
      <c r="G10" s="315">
        <f ca="1">DATA!$D$11/1000000</f>
        <v>3.9926606295279998</v>
      </c>
      <c r="H10" s="315">
        <f>C10*DATA!$D$5/1000000</f>
        <v>9.1066503854473062</v>
      </c>
      <c r="I10" s="315">
        <f>(C10*DATA!$D$5*DATA!$D$7)/1000000</f>
        <v>0.20489963367256439</v>
      </c>
      <c r="J10" s="313">
        <f t="shared" ca="1" si="1"/>
        <v>13.304210648647871</v>
      </c>
      <c r="K10" s="311"/>
      <c r="L10" s="313">
        <f>((D10*DATA!$D$23)/1000000)+((E10*DATA!$D$24)/1000000)</f>
        <v>12.135479999999999</v>
      </c>
      <c r="M10" s="313">
        <f t="shared" si="2"/>
        <v>12.135479999999999</v>
      </c>
      <c r="N10" s="313">
        <f t="shared" ca="1" si="6"/>
        <v>-1.1687306486478715</v>
      </c>
      <c r="O10" s="312">
        <f>1/(1+'[93]Asumsi I'!$C$3)^(KKF!A10)</f>
        <v>0.71178024781341087</v>
      </c>
      <c r="P10" s="313">
        <f t="shared" ca="1" si="7"/>
        <v>-0.83187939072171035</v>
      </c>
      <c r="Q10" s="313">
        <f t="shared" ref="Q10:Q30" ca="1" si="9">Q9+P10</f>
        <v>-113.76206599845879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8400</v>
      </c>
      <c r="D11" s="313">
        <f t="shared" si="5"/>
        <v>1400</v>
      </c>
      <c r="E11" s="313">
        <f t="shared" si="0"/>
        <v>7000</v>
      </c>
      <c r="F11" s="311"/>
      <c r="G11" s="315">
        <f ca="1">DATA!$D$11/1000000</f>
        <v>3.9926606295279998</v>
      </c>
      <c r="H11" s="315">
        <f>C11*DATA!$D$5/1000000</f>
        <v>9.1066503854473062</v>
      </c>
      <c r="I11" s="315">
        <f>(C11*DATA!$D$5*DATA!$D$7)/1000000</f>
        <v>0.20489963367256439</v>
      </c>
      <c r="J11" s="313">
        <f t="shared" ca="1" si="1"/>
        <v>13.304210648647871</v>
      </c>
      <c r="K11" s="311"/>
      <c r="L11" s="313">
        <f>((D11*DATA!$D$23)/1000000)+((E11*DATA!$D$24)/1000000)</f>
        <v>12.135479999999999</v>
      </c>
      <c r="M11" s="313">
        <f t="shared" si="2"/>
        <v>12.135479999999999</v>
      </c>
      <c r="N11" s="313">
        <f t="shared" ca="1" si="6"/>
        <v>-1.1687306486478715</v>
      </c>
      <c r="O11" s="312">
        <f>1/(1+'[93]Asumsi I'!$C$3)^(KKF!A11)</f>
        <v>0.63551807840483121</v>
      </c>
      <c r="P11" s="313">
        <f t="shared" ca="1" si="7"/>
        <v>-0.7427494560015272</v>
      </c>
      <c r="Q11" s="313">
        <f t="shared" ca="1" si="9"/>
        <v>-114.50481545446033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8400</v>
      </c>
      <c r="D12" s="313">
        <f t="shared" si="5"/>
        <v>1400</v>
      </c>
      <c r="E12" s="313">
        <f t="shared" si="0"/>
        <v>7000</v>
      </c>
      <c r="F12" s="311"/>
      <c r="G12" s="315">
        <f ca="1">DATA!$D$11/1000000</f>
        <v>3.9926606295279998</v>
      </c>
      <c r="H12" s="315">
        <f>C12*DATA!$D$5/1000000</f>
        <v>9.1066503854473062</v>
      </c>
      <c r="I12" s="315">
        <f>(C12*DATA!$D$5*DATA!$D$7)/1000000</f>
        <v>0.20489963367256439</v>
      </c>
      <c r="J12" s="313">
        <f t="shared" ca="1" si="1"/>
        <v>13.304210648647871</v>
      </c>
      <c r="K12" s="311"/>
      <c r="L12" s="313">
        <f>((D12*DATA!$D$23)/1000000)+((E12*DATA!$D$24)/1000000)</f>
        <v>12.135479999999999</v>
      </c>
      <c r="M12" s="313">
        <f t="shared" si="2"/>
        <v>12.135479999999999</v>
      </c>
      <c r="N12" s="313">
        <f t="shared" ca="1" si="6"/>
        <v>-1.1687306486478715</v>
      </c>
      <c r="O12" s="312">
        <f>1/(1+'[93]Asumsi I'!$C$3)^(KKF!A12)</f>
        <v>0.56742685571859919</v>
      </c>
      <c r="P12" s="313">
        <f t="shared" ca="1" si="7"/>
        <v>-0.66316915714422064</v>
      </c>
      <c r="Q12" s="313">
        <f t="shared" ca="1" si="9"/>
        <v>-115.16798461160455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8400</v>
      </c>
      <c r="D13" s="313">
        <f t="shared" si="5"/>
        <v>1400</v>
      </c>
      <c r="E13" s="313">
        <f t="shared" si="0"/>
        <v>7000</v>
      </c>
      <c r="F13" s="311"/>
      <c r="G13" s="315">
        <f ca="1">DATA!$D$11/1000000</f>
        <v>3.9926606295279998</v>
      </c>
      <c r="H13" s="315">
        <f>C13*DATA!$D$5/1000000</f>
        <v>9.1066503854473062</v>
      </c>
      <c r="I13" s="315">
        <f>(C13*DATA!$D$5*DATA!$D$7)/1000000</f>
        <v>0.20489963367256439</v>
      </c>
      <c r="J13" s="313">
        <f t="shared" ca="1" si="1"/>
        <v>13.304210648647871</v>
      </c>
      <c r="K13" s="311"/>
      <c r="L13" s="313">
        <f>((D13*DATA!$D$23)/1000000)+((E13*DATA!$D$24)/1000000)</f>
        <v>12.135479999999999</v>
      </c>
      <c r="M13" s="313">
        <f t="shared" si="2"/>
        <v>12.135479999999999</v>
      </c>
      <c r="N13" s="313">
        <f t="shared" ca="1" si="6"/>
        <v>-1.1687306486478715</v>
      </c>
      <c r="O13" s="312">
        <f>1/(1+'[93]Asumsi I'!$C$3)^(KKF!A13)</f>
        <v>0.50663112117732068</v>
      </c>
      <c r="P13" s="313">
        <f t="shared" ca="1" si="7"/>
        <v>-0.59211531887876834</v>
      </c>
      <c r="Q13" s="313">
        <f t="shared" ca="1" si="9"/>
        <v>-115.76009993048332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8400</v>
      </c>
      <c r="D14" s="313">
        <f t="shared" si="5"/>
        <v>1400</v>
      </c>
      <c r="E14" s="313">
        <f t="shared" si="0"/>
        <v>7000</v>
      </c>
      <c r="F14" s="311"/>
      <c r="G14" s="315">
        <f ca="1">DATA!$D$11/1000000</f>
        <v>3.9926606295279998</v>
      </c>
      <c r="H14" s="315">
        <f>C14*DATA!$D$5/1000000</f>
        <v>9.1066503854473062</v>
      </c>
      <c r="I14" s="315">
        <f>(C14*DATA!$D$5*DATA!$D$7)/1000000</f>
        <v>0.20489963367256439</v>
      </c>
      <c r="J14" s="313">
        <f t="shared" ca="1" si="1"/>
        <v>13.304210648647871</v>
      </c>
      <c r="K14" s="311"/>
      <c r="L14" s="313">
        <f>((D14*DATA!$D$23)/1000000)+((E14*DATA!$D$24)/1000000)</f>
        <v>12.135479999999999</v>
      </c>
      <c r="M14" s="313">
        <f t="shared" si="2"/>
        <v>12.135479999999999</v>
      </c>
      <c r="N14" s="313">
        <f t="shared" ca="1" si="6"/>
        <v>-1.1687306486478715</v>
      </c>
      <c r="O14" s="312">
        <f>1/(1+'[93]Asumsi I'!$C$3)^(KKF!A14)</f>
        <v>0.45234921533689343</v>
      </c>
      <c r="P14" s="313">
        <f t="shared" ca="1" si="7"/>
        <v>-0.52867439185604315</v>
      </c>
      <c r="Q14" s="313">
        <f t="shared" ca="1" si="9"/>
        <v>-116.28877432233936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8400</v>
      </c>
      <c r="D15" s="313">
        <f t="shared" si="5"/>
        <v>1400</v>
      </c>
      <c r="E15" s="313">
        <f t="shared" si="0"/>
        <v>7000</v>
      </c>
      <c r="F15" s="311"/>
      <c r="G15" s="315">
        <f ca="1">DATA!$D$11/1000000</f>
        <v>3.9926606295279998</v>
      </c>
      <c r="H15" s="315">
        <f>C15*DATA!$D$5/1000000</f>
        <v>9.1066503854473062</v>
      </c>
      <c r="I15" s="315">
        <f>(C15*DATA!$D$5*DATA!$D$7)/1000000</f>
        <v>0.20489963367256439</v>
      </c>
      <c r="J15" s="313">
        <f t="shared" ca="1" si="1"/>
        <v>13.304210648647871</v>
      </c>
      <c r="K15" s="311"/>
      <c r="L15" s="313">
        <f>((D15*DATA!$D$23)/1000000)+((E15*DATA!$D$24)/1000000)</f>
        <v>12.135479999999999</v>
      </c>
      <c r="M15" s="313">
        <f t="shared" si="2"/>
        <v>12.135479999999999</v>
      </c>
      <c r="N15" s="313">
        <f t="shared" ca="1" si="6"/>
        <v>-1.1687306486478715</v>
      </c>
      <c r="O15" s="312">
        <f>1/(1+'[93]Asumsi I'!$C$3)^(KKF!A15)</f>
        <v>0.4038832279793691</v>
      </c>
      <c r="P15" s="313">
        <f t="shared" ca="1" si="7"/>
        <v>-0.4720307070143242</v>
      </c>
      <c r="Q15" s="313">
        <f t="shared" ca="1" si="9"/>
        <v>-116.76080502935369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8400</v>
      </c>
      <c r="D16" s="313">
        <f t="shared" si="5"/>
        <v>1400</v>
      </c>
      <c r="E16" s="313">
        <f t="shared" si="0"/>
        <v>7000</v>
      </c>
      <c r="F16" s="311"/>
      <c r="G16" s="315">
        <f ca="1">DATA!$D$11/1000000</f>
        <v>3.9926606295279998</v>
      </c>
      <c r="H16" s="315">
        <f>C16*DATA!$D$5/1000000</f>
        <v>9.1066503854473062</v>
      </c>
      <c r="I16" s="315">
        <f>(C16*DATA!$D$5*DATA!$D$7)/1000000</f>
        <v>0.20489963367256439</v>
      </c>
      <c r="J16" s="313">
        <f t="shared" ca="1" si="1"/>
        <v>13.304210648647871</v>
      </c>
      <c r="K16" s="311"/>
      <c r="L16" s="313">
        <f>((D16*DATA!$D$23)/1000000)+((E16*DATA!$D$24)/1000000)</f>
        <v>12.135479999999999</v>
      </c>
      <c r="M16" s="313">
        <f t="shared" si="2"/>
        <v>12.135479999999999</v>
      </c>
      <c r="N16" s="313">
        <f t="shared" ca="1" si="6"/>
        <v>-1.1687306486478715</v>
      </c>
      <c r="O16" s="312">
        <f>1/(1+'[93]Asumsi I'!$C$3)^(KKF!A16)</f>
        <v>0.36061002498157957</v>
      </c>
      <c r="P16" s="313">
        <f t="shared" ca="1" si="7"/>
        <v>-0.42145598840564663</v>
      </c>
      <c r="Q16" s="313">
        <f t="shared" ca="1" si="9"/>
        <v>-117.18226101775933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8400</v>
      </c>
      <c r="D17" s="313">
        <f t="shared" si="5"/>
        <v>1400</v>
      </c>
      <c r="E17" s="313">
        <f t="shared" si="0"/>
        <v>7000</v>
      </c>
      <c r="F17" s="311"/>
      <c r="G17" s="315">
        <f ca="1">DATA!$D$11/1000000</f>
        <v>3.9926606295279998</v>
      </c>
      <c r="H17" s="315">
        <f>C17*DATA!$D$5/1000000</f>
        <v>9.1066503854473062</v>
      </c>
      <c r="I17" s="315">
        <f>(C17*DATA!$D$5*DATA!$D$7)/1000000</f>
        <v>0.20489963367256439</v>
      </c>
      <c r="J17" s="313">
        <f t="shared" ca="1" si="1"/>
        <v>13.304210648647871</v>
      </c>
      <c r="K17" s="311"/>
      <c r="L17" s="313">
        <f>((D17*DATA!$D$23)/1000000)+((E17*DATA!$D$24)/1000000)</f>
        <v>12.135479999999999</v>
      </c>
      <c r="M17" s="313">
        <f t="shared" si="2"/>
        <v>12.135479999999999</v>
      </c>
      <c r="N17" s="313">
        <f t="shared" ca="1" si="6"/>
        <v>-1.1687306486478715</v>
      </c>
      <c r="O17" s="312">
        <f>1/(1+'[93]Asumsi I'!$C$3)^(KKF!A17)</f>
        <v>0.32197323659069599</v>
      </c>
      <c r="P17" s="313">
        <f t="shared" ca="1" si="7"/>
        <v>-0.37629998964789868</v>
      </c>
      <c r="Q17" s="313">
        <f t="shared" ca="1" si="9"/>
        <v>-117.55856100740723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8400</v>
      </c>
      <c r="D18" s="313">
        <f t="shared" si="5"/>
        <v>1400</v>
      </c>
      <c r="E18" s="313">
        <f t="shared" si="0"/>
        <v>7000</v>
      </c>
      <c r="F18" s="311"/>
      <c r="G18" s="315">
        <f ca="1">DATA!$D$11/1000000</f>
        <v>3.9926606295279998</v>
      </c>
      <c r="H18" s="315">
        <f>C18*DATA!$D$5/1000000</f>
        <v>9.1066503854473062</v>
      </c>
      <c r="I18" s="315">
        <f>(C18*DATA!$D$5*DATA!$D$7)/1000000</f>
        <v>0.20489963367256439</v>
      </c>
      <c r="J18" s="313">
        <f t="shared" ca="1" si="1"/>
        <v>13.304210648647871</v>
      </c>
      <c r="K18" s="311"/>
      <c r="L18" s="313">
        <f>((D18*DATA!$D$23)/1000000)+((E18*DATA!$D$24)/1000000)</f>
        <v>12.135479999999999</v>
      </c>
      <c r="M18" s="313">
        <f t="shared" si="2"/>
        <v>12.135479999999999</v>
      </c>
      <c r="N18" s="313">
        <f t="shared" ca="1" si="6"/>
        <v>-1.1687306486478715</v>
      </c>
      <c r="O18" s="312">
        <f>1/(1+'[93]Asumsi I'!$C$3)^(KKF!A18)</f>
        <v>0.28747610409883567</v>
      </c>
      <c r="P18" s="313">
        <f t="shared" ca="1" si="7"/>
        <v>-0.33598213361419521</v>
      </c>
      <c r="Q18" s="313">
        <f t="shared" ca="1" si="9"/>
        <v>-117.89454314102143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8400</v>
      </c>
      <c r="D19" s="313">
        <f t="shared" si="5"/>
        <v>1400</v>
      </c>
      <c r="E19" s="313">
        <f t="shared" si="0"/>
        <v>7000</v>
      </c>
      <c r="F19" s="311"/>
      <c r="G19" s="315">
        <f ca="1">DATA!$D$11/1000000</f>
        <v>3.9926606295279998</v>
      </c>
      <c r="H19" s="315">
        <f>C19*DATA!$D$5/1000000</f>
        <v>9.1066503854473062</v>
      </c>
      <c r="I19" s="315">
        <f>(C19*DATA!$D$5*DATA!$D$7)/1000000</f>
        <v>0.20489963367256439</v>
      </c>
      <c r="J19" s="313">
        <f t="shared" ca="1" si="1"/>
        <v>13.304210648647871</v>
      </c>
      <c r="K19" s="311"/>
      <c r="L19" s="313">
        <f>((D19*DATA!$D$23)/1000000)+((E19*DATA!$D$24)/1000000)</f>
        <v>12.135479999999999</v>
      </c>
      <c r="M19" s="313">
        <f t="shared" si="2"/>
        <v>12.135479999999999</v>
      </c>
      <c r="N19" s="313">
        <f t="shared" ca="1" si="6"/>
        <v>-1.1687306486478715</v>
      </c>
      <c r="O19" s="312">
        <f>1/(1+'[93]Asumsi I'!$C$3)^(KKF!A19)</f>
        <v>0.25667509294538904</v>
      </c>
      <c r="P19" s="313">
        <f t="shared" ca="1" si="7"/>
        <v>-0.29998404786981725</v>
      </c>
      <c r="Q19" s="313">
        <f t="shared" ca="1" si="9"/>
        <v>-118.19452718889124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8400</v>
      </c>
      <c r="D20" s="313">
        <f t="shared" si="5"/>
        <v>1400</v>
      </c>
      <c r="E20" s="313">
        <f t="shared" si="0"/>
        <v>7000</v>
      </c>
      <c r="F20" s="311"/>
      <c r="G20" s="315">
        <f ca="1">DATA!$D$11/1000000</f>
        <v>3.9926606295279998</v>
      </c>
      <c r="H20" s="315">
        <f>C20*DATA!$D$5/1000000</f>
        <v>9.1066503854473062</v>
      </c>
      <c r="I20" s="315">
        <f>(C20*DATA!$D$5*DATA!$D$7)/1000000</f>
        <v>0.20489963367256439</v>
      </c>
      <c r="J20" s="313">
        <f t="shared" ca="1" si="1"/>
        <v>13.304210648647871</v>
      </c>
      <c r="K20" s="311"/>
      <c r="L20" s="313">
        <f>((D20*DATA!$D$23)/1000000)+((E20*DATA!$D$24)/1000000)</f>
        <v>12.135479999999999</v>
      </c>
      <c r="M20" s="313">
        <f t="shared" si="2"/>
        <v>12.135479999999999</v>
      </c>
      <c r="N20" s="313">
        <f t="shared" ca="1" si="6"/>
        <v>-1.1687306486478715</v>
      </c>
      <c r="O20" s="312">
        <f>1/(1+'[93]Asumsi I'!$C$3)^(KKF!A20)</f>
        <v>0.22917419012981158</v>
      </c>
      <c r="P20" s="313">
        <f t="shared" ca="1" si="7"/>
        <v>-0.26784289988376531</v>
      </c>
      <c r="Q20" s="313">
        <f t="shared" ca="1" si="9"/>
        <v>-118.462370088775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8400</v>
      </c>
      <c r="D21" s="313">
        <f t="shared" si="5"/>
        <v>1400</v>
      </c>
      <c r="E21" s="313">
        <f t="shared" si="0"/>
        <v>7000</v>
      </c>
      <c r="F21" s="311"/>
      <c r="G21" s="315">
        <f ca="1">DATA!$D$11/1000000</f>
        <v>3.9926606295279998</v>
      </c>
      <c r="H21" s="315">
        <f>C21*DATA!$D$5/1000000</f>
        <v>9.1066503854473062</v>
      </c>
      <c r="I21" s="315">
        <f>(C21*DATA!$D$5*DATA!$D$7)/1000000</f>
        <v>0.20489963367256439</v>
      </c>
      <c r="J21" s="313">
        <f t="shared" ca="1" si="1"/>
        <v>13.304210648647871</v>
      </c>
      <c r="K21" s="311"/>
      <c r="L21" s="313">
        <f>((D21*DATA!$D$23)/1000000)+((E21*DATA!$D$24)/1000000)</f>
        <v>12.135479999999999</v>
      </c>
      <c r="M21" s="313">
        <f t="shared" si="2"/>
        <v>12.135479999999999</v>
      </c>
      <c r="N21" s="313">
        <f t="shared" ca="1" si="6"/>
        <v>-1.1687306486478715</v>
      </c>
      <c r="O21" s="312">
        <f>1/(1+'[93]Asumsi I'!$C$3)^(KKF!A21)</f>
        <v>0.20461981261590317</v>
      </c>
      <c r="P21" s="313">
        <f t="shared" ca="1" si="7"/>
        <v>-0.23914544632479043</v>
      </c>
      <c r="Q21" s="313">
        <f t="shared" ca="1" si="9"/>
        <v>-118.70151553509979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8400</v>
      </c>
      <c r="D22" s="313">
        <f t="shared" si="5"/>
        <v>1400</v>
      </c>
      <c r="E22" s="313">
        <f t="shared" si="0"/>
        <v>7000</v>
      </c>
      <c r="F22" s="311"/>
      <c r="G22" s="315">
        <f ca="1">DATA!$D$11/1000000</f>
        <v>3.9926606295279998</v>
      </c>
      <c r="H22" s="315">
        <f>C22*DATA!$D$5/1000000</f>
        <v>9.1066503854473062</v>
      </c>
      <c r="I22" s="315">
        <f>(C22*DATA!$D$5*DATA!$D$7)/1000000</f>
        <v>0.20489963367256439</v>
      </c>
      <c r="J22" s="313">
        <f t="shared" ca="1" si="1"/>
        <v>13.304210648647871</v>
      </c>
      <c r="K22" s="311"/>
      <c r="L22" s="313">
        <f>((D22*DATA!$D$23)/1000000)+((E22*DATA!$D$24)/1000000)</f>
        <v>12.135479999999999</v>
      </c>
      <c r="M22" s="313">
        <f t="shared" si="2"/>
        <v>12.135479999999999</v>
      </c>
      <c r="N22" s="313">
        <f t="shared" ca="1" si="6"/>
        <v>-1.1687306486478715</v>
      </c>
      <c r="O22" s="312">
        <f>1/(1+'[93]Asumsi I'!$C$3)^(KKF!A22)</f>
        <v>0.18269626126419927</v>
      </c>
      <c r="P22" s="313">
        <f t="shared" ca="1" si="7"/>
        <v>-0.2135227199328486</v>
      </c>
      <c r="Q22" s="313">
        <f t="shared" ca="1" si="9"/>
        <v>-118.91503825503264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8400</v>
      </c>
      <c r="D23" s="313">
        <f t="shared" si="5"/>
        <v>1400</v>
      </c>
      <c r="E23" s="313">
        <f t="shared" si="0"/>
        <v>7000</v>
      </c>
      <c r="F23" s="311"/>
      <c r="G23" s="315">
        <f ca="1">DATA!$D$11/1000000</f>
        <v>3.9926606295279998</v>
      </c>
      <c r="H23" s="315">
        <f>C23*DATA!$D$5/1000000</f>
        <v>9.1066503854473062</v>
      </c>
      <c r="I23" s="315">
        <f>(C23*DATA!$D$5*DATA!$D$7)/1000000</f>
        <v>0.20489963367256439</v>
      </c>
      <c r="J23" s="313">
        <f t="shared" ca="1" si="1"/>
        <v>13.304210648647871</v>
      </c>
      <c r="K23" s="311"/>
      <c r="L23" s="313">
        <f>((D23*DATA!$D$23)/1000000)+((E23*DATA!$D$24)/1000000)</f>
        <v>12.135479999999999</v>
      </c>
      <c r="M23" s="313">
        <f t="shared" si="2"/>
        <v>12.135479999999999</v>
      </c>
      <c r="N23" s="313">
        <f t="shared" ca="1" si="6"/>
        <v>-1.1687306486478715</v>
      </c>
      <c r="O23" s="312">
        <f>1/(1+'[93]Asumsi I'!$C$3)^(KKF!A23)</f>
        <v>0.16312166184303503</v>
      </c>
      <c r="P23" s="313">
        <f t="shared" ca="1" si="7"/>
        <v>-0.19064528565432909</v>
      </c>
      <c r="Q23" s="313">
        <f t="shared" ca="1" si="9"/>
        <v>-119.10568354068697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8400</v>
      </c>
      <c r="D24" s="313">
        <f t="shared" si="5"/>
        <v>1400</v>
      </c>
      <c r="E24" s="313">
        <f t="shared" si="0"/>
        <v>7000</v>
      </c>
      <c r="F24" s="311"/>
      <c r="G24" s="315">
        <f ca="1">DATA!$D$11/1000000</f>
        <v>3.9926606295279998</v>
      </c>
      <c r="H24" s="315">
        <f>C24*DATA!$D$5/1000000</f>
        <v>9.1066503854473062</v>
      </c>
      <c r="I24" s="315">
        <f>(C24*DATA!$D$5*DATA!$D$7)/1000000</f>
        <v>0.20489963367256439</v>
      </c>
      <c r="J24" s="313">
        <f t="shared" ca="1" si="1"/>
        <v>13.304210648647871</v>
      </c>
      <c r="K24" s="311"/>
      <c r="L24" s="313">
        <f>((D24*DATA!$D$23)/1000000)+((E24*DATA!$D$24)/1000000)</f>
        <v>12.135479999999999</v>
      </c>
      <c r="M24" s="313">
        <f t="shared" si="2"/>
        <v>12.135479999999999</v>
      </c>
      <c r="N24" s="313">
        <f t="shared" ca="1" si="6"/>
        <v>-1.1687306486478715</v>
      </c>
      <c r="O24" s="312">
        <f>1/(1+'[93]Asumsi I'!$C$3)^(KKF!A24)</f>
        <v>0.14564434093128129</v>
      </c>
      <c r="P24" s="313">
        <f t="shared" ca="1" si="7"/>
        <v>-0.17021900504850812</v>
      </c>
      <c r="Q24" s="313">
        <f t="shared" ca="1" si="9"/>
        <v>-119.27590254573548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8400</v>
      </c>
      <c r="D25" s="313">
        <f t="shared" si="5"/>
        <v>1400</v>
      </c>
      <c r="E25" s="313">
        <f t="shared" si="0"/>
        <v>7000</v>
      </c>
      <c r="F25" s="311"/>
      <c r="G25" s="315">
        <f ca="1">DATA!$D$11/1000000</f>
        <v>3.9926606295279998</v>
      </c>
      <c r="H25" s="315">
        <f>C25*DATA!$D$5/1000000</f>
        <v>9.1066503854473062</v>
      </c>
      <c r="I25" s="315">
        <f>(C25*DATA!$D$5*DATA!$D$7)/1000000</f>
        <v>0.20489963367256439</v>
      </c>
      <c r="J25" s="313">
        <f t="shared" ca="1" si="1"/>
        <v>13.304210648647871</v>
      </c>
      <c r="K25" s="311"/>
      <c r="L25" s="313">
        <f>((D25*DATA!$D$23)/1000000)+((E25*DATA!$D$24)/1000000)</f>
        <v>12.135479999999999</v>
      </c>
      <c r="M25" s="313">
        <f t="shared" si="2"/>
        <v>12.135479999999999</v>
      </c>
      <c r="N25" s="313">
        <f t="shared" ca="1" si="6"/>
        <v>-1.1687306486478715</v>
      </c>
      <c r="O25" s="312">
        <f>1/(1+'[93]Asumsi I'!$C$3)^(KKF!A25)</f>
        <v>0.13003959011721541</v>
      </c>
      <c r="P25" s="313">
        <f t="shared" ca="1" si="7"/>
        <v>-0.1519812545075965</v>
      </c>
      <c r="Q25" s="313">
        <f t="shared" ca="1" si="9"/>
        <v>-119.42788380024308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8400</v>
      </c>
      <c r="D26" s="313">
        <f t="shared" si="5"/>
        <v>1400</v>
      </c>
      <c r="E26" s="313">
        <f t="shared" si="0"/>
        <v>7000</v>
      </c>
      <c r="F26" s="311"/>
      <c r="G26" s="315">
        <f ca="1">DATA!$D$11/1000000</f>
        <v>3.9926606295279998</v>
      </c>
      <c r="H26" s="315">
        <f>C26*DATA!$D$5/1000000</f>
        <v>9.1066503854473062</v>
      </c>
      <c r="I26" s="315">
        <f>(C26*DATA!$D$5*DATA!$D$7)/1000000</f>
        <v>0.20489963367256439</v>
      </c>
      <c r="J26" s="313">
        <f t="shared" ca="1" si="1"/>
        <v>13.304210648647871</v>
      </c>
      <c r="K26" s="311"/>
      <c r="L26" s="313">
        <f>((D26*DATA!$D$23)/1000000)+((E26*DATA!$D$24)/1000000)</f>
        <v>12.135479999999999</v>
      </c>
      <c r="M26" s="313">
        <f t="shared" si="2"/>
        <v>12.135479999999999</v>
      </c>
      <c r="N26" s="313">
        <f t="shared" ca="1" si="6"/>
        <v>-1.1687306486478715</v>
      </c>
      <c r="O26" s="312">
        <f>1/(1+'[93]Asumsi I'!$C$3)^(KKF!A26)</f>
        <v>0.1161067768903709</v>
      </c>
      <c r="P26" s="313">
        <f t="shared" ca="1" si="7"/>
        <v>-0.13569754866749686</v>
      </c>
      <c r="Q26" s="313">
        <f t="shared" ca="1" si="9"/>
        <v>-119.56358134891057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8400</v>
      </c>
      <c r="D27" s="313">
        <f t="shared" si="5"/>
        <v>1400</v>
      </c>
      <c r="E27" s="313">
        <f t="shared" si="0"/>
        <v>7000</v>
      </c>
      <c r="F27" s="311"/>
      <c r="G27" s="315">
        <f ca="1">DATA!$D$11/1000000</f>
        <v>3.9926606295279998</v>
      </c>
      <c r="H27" s="315">
        <f>C27*DATA!$D$5/1000000</f>
        <v>9.1066503854473062</v>
      </c>
      <c r="I27" s="315">
        <f>(C27*DATA!$D$5*DATA!$D$7)/1000000</f>
        <v>0.20489963367256439</v>
      </c>
      <c r="J27" s="313">
        <f t="shared" ca="1" si="1"/>
        <v>13.304210648647871</v>
      </c>
      <c r="K27" s="311"/>
      <c r="L27" s="313">
        <f>((D27*DATA!$D$23)/1000000)+((E27*DATA!$D$24)/1000000)</f>
        <v>12.135479999999999</v>
      </c>
      <c r="M27" s="313">
        <f t="shared" si="2"/>
        <v>12.135479999999999</v>
      </c>
      <c r="N27" s="313">
        <f t="shared" ca="1" si="6"/>
        <v>-1.1687306486478715</v>
      </c>
      <c r="O27" s="312">
        <f>1/(1+'[93]Asumsi I'!$C$3)^(KKF!A27)</f>
        <v>0.1036667650806883</v>
      </c>
      <c r="P27" s="313">
        <f t="shared" ca="1" si="7"/>
        <v>-0.12115852559597934</v>
      </c>
      <c r="Q27" s="313">
        <f t="shared" ca="1" si="9"/>
        <v>-119.68473987450655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8400</v>
      </c>
      <c r="D28" s="313">
        <f t="shared" si="5"/>
        <v>1400</v>
      </c>
      <c r="E28" s="313">
        <f t="shared" si="0"/>
        <v>7000</v>
      </c>
      <c r="F28" s="311"/>
      <c r="G28" s="315">
        <f ca="1">DATA!$D$11/1000000</f>
        <v>3.9926606295279998</v>
      </c>
      <c r="H28" s="315">
        <f>C28*DATA!$D$5/1000000</f>
        <v>9.1066503854473062</v>
      </c>
      <c r="I28" s="315">
        <f>(C28*DATA!$D$5*DATA!$D$7)/1000000</f>
        <v>0.20489963367256439</v>
      </c>
      <c r="J28" s="313">
        <f t="shared" ca="1" si="1"/>
        <v>13.304210648647871</v>
      </c>
      <c r="K28" s="311"/>
      <c r="L28" s="313">
        <f>((D28*DATA!$D$23)/1000000)+((E28*DATA!$D$24)/1000000)</f>
        <v>12.135479999999999</v>
      </c>
      <c r="M28" s="313">
        <f t="shared" si="2"/>
        <v>12.135479999999999</v>
      </c>
      <c r="N28" s="313">
        <f t="shared" ca="1" si="6"/>
        <v>-1.1687306486478715</v>
      </c>
      <c r="O28" s="312">
        <f>1/(1+'[93]Asumsi I'!$C$3)^(KKF!A28)</f>
        <v>9.2559611679185971E-2</v>
      </c>
      <c r="P28" s="313">
        <f t="shared" ca="1" si="7"/>
        <v>-0.10817725499641012</v>
      </c>
      <c r="Q28" s="313">
        <f t="shared" ca="1" si="9"/>
        <v>-119.79291712950295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8400</v>
      </c>
      <c r="D29" s="313">
        <f t="shared" si="5"/>
        <v>1400</v>
      </c>
      <c r="E29" s="313">
        <f t="shared" si="0"/>
        <v>7000</v>
      </c>
      <c r="F29" s="311"/>
      <c r="G29" s="315">
        <f ca="1">DATA!$D$11/1000000</f>
        <v>3.9926606295279998</v>
      </c>
      <c r="H29" s="315">
        <f>C29*DATA!$D$5/1000000</f>
        <v>9.1066503854473062</v>
      </c>
      <c r="I29" s="315">
        <f>(C29*DATA!$D$5*DATA!$D$7)/1000000</f>
        <v>0.20489963367256439</v>
      </c>
      <c r="J29" s="313">
        <f t="shared" ca="1" si="1"/>
        <v>13.304210648647871</v>
      </c>
      <c r="K29" s="311"/>
      <c r="L29" s="313">
        <f>((D29*DATA!$D$23)/1000000)+((E29*DATA!$D$24)/1000000)</f>
        <v>12.135479999999999</v>
      </c>
      <c r="M29" s="313">
        <f t="shared" si="2"/>
        <v>12.135479999999999</v>
      </c>
      <c r="N29" s="313">
        <f t="shared" ca="1" si="6"/>
        <v>-1.1687306486478715</v>
      </c>
      <c r="O29" s="312">
        <f>1/(1+'[93]Asumsi I'!$C$3)^(KKF!A29)</f>
        <v>8.2642510427844609E-2</v>
      </c>
      <c r="P29" s="313">
        <f t="shared" ca="1" si="7"/>
        <v>-9.6586834818223305E-2</v>
      </c>
      <c r="Q29" s="313">
        <f t="shared" ca="1" si="9"/>
        <v>-119.88950396432118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8400</v>
      </c>
      <c r="D30" s="313">
        <f t="shared" si="5"/>
        <v>1400</v>
      </c>
      <c r="E30" s="313">
        <f t="shared" si="0"/>
        <v>7000</v>
      </c>
      <c r="F30" s="311"/>
      <c r="G30" s="315">
        <f ca="1">DATA!$D$11/1000000</f>
        <v>3.9926606295279998</v>
      </c>
      <c r="H30" s="315">
        <f>C30*DATA!$D$5/1000000</f>
        <v>9.1066503854473062</v>
      </c>
      <c r="I30" s="315">
        <f>(C30*DATA!$D$5*DATA!$D$7)/1000000</f>
        <v>0.20489963367256439</v>
      </c>
      <c r="J30" s="313">
        <f t="shared" ca="1" si="1"/>
        <v>13.304210648647871</v>
      </c>
      <c r="K30" s="311"/>
      <c r="L30" s="313">
        <f>((D30*DATA!$D$23)/1000000)+((E30*DATA!$D$24)/1000000)</f>
        <v>12.135479999999999</v>
      </c>
      <c r="M30" s="313">
        <f t="shared" si="2"/>
        <v>12.135479999999999</v>
      </c>
      <c r="N30" s="313">
        <f t="shared" ca="1" si="6"/>
        <v>-1.1687306486478715</v>
      </c>
      <c r="O30" s="312">
        <f>1/(1+'[93]Asumsi I'!$C$3)^(KKF!A30)</f>
        <v>7.3787955739146982E-2</v>
      </c>
      <c r="P30" s="313">
        <f t="shared" ca="1" si="7"/>
        <v>-8.623824537341368E-2</v>
      </c>
      <c r="Q30" s="313">
        <f t="shared" ca="1" si="9"/>
        <v>-119.97574220969459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8400</v>
      </c>
      <c r="D31" s="313">
        <f t="shared" si="5"/>
        <v>1400</v>
      </c>
      <c r="E31" s="313">
        <f t="shared" si="0"/>
        <v>7000</v>
      </c>
      <c r="F31" s="311"/>
      <c r="G31" s="315">
        <f ca="1">DATA!$D$11/1000000</f>
        <v>3.9926606295279998</v>
      </c>
      <c r="H31" s="315">
        <f>C31*DATA!$D$5/1000000</f>
        <v>9.1066503854473062</v>
      </c>
      <c r="I31" s="315">
        <f>(C31*DATA!$D$5*DATA!$D$7)/1000000</f>
        <v>0.20489963367256439</v>
      </c>
      <c r="J31" s="313">
        <f t="shared" ca="1" si="1"/>
        <v>13.304210648647871</v>
      </c>
      <c r="K31" s="311"/>
      <c r="L31" s="313">
        <f>((D31*DATA!$D$23)/1000000)+((E31*DATA!$D$24)/1000000)</f>
        <v>12.135479999999999</v>
      </c>
      <c r="M31" s="313">
        <f t="shared" si="2"/>
        <v>12.135479999999999</v>
      </c>
      <c r="N31" s="313">
        <f t="shared" ca="1" si="6"/>
        <v>-1.1687306486478715</v>
      </c>
      <c r="O31" s="312">
        <f>1/(1+'[93]Asumsi I'!$C$3)^(KKF!A31)</f>
        <v>6.5882103338524081E-2</v>
      </c>
      <c r="P31" s="313">
        <f t="shared" ca="1" si="7"/>
        <v>-7.6998433369119351E-2</v>
      </c>
      <c r="Q31" s="313">
        <f ca="1">Q30+P31</f>
        <v>-120.0527406430637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8400</v>
      </c>
      <c r="D32" s="313">
        <f t="shared" si="5"/>
        <v>1400</v>
      </c>
      <c r="E32" s="313">
        <f t="shared" si="0"/>
        <v>7000</v>
      </c>
      <c r="F32" s="311"/>
      <c r="G32" s="315">
        <f ca="1">DATA!$D$11/1000000</f>
        <v>3.9926606295279998</v>
      </c>
      <c r="H32" s="315">
        <f>C32*DATA!$D$5/1000000</f>
        <v>9.1066503854473062</v>
      </c>
      <c r="I32" s="315">
        <f>(C32*DATA!$D$5*DATA!$D$7)/1000000</f>
        <v>0.20489963367256439</v>
      </c>
      <c r="J32" s="313">
        <f t="shared" ca="1" si="1"/>
        <v>13.304210648647871</v>
      </c>
      <c r="K32" s="311"/>
      <c r="L32" s="313">
        <f>((D32*DATA!$D$23)/1000000)+((E32*DATA!$D$24)/1000000)</f>
        <v>12.135479999999999</v>
      </c>
      <c r="M32" s="313">
        <f t="shared" si="2"/>
        <v>12.135479999999999</v>
      </c>
      <c r="N32" s="313">
        <f t="shared" ca="1" si="6"/>
        <v>-1.1687306486478715</v>
      </c>
      <c r="O32" s="312">
        <f>1/(1+'[93]Asumsi I'!$C$3)^(KKF!A32)</f>
        <v>5.8823306552253637E-2</v>
      </c>
      <c r="P32" s="313">
        <f t="shared" ca="1" si="7"/>
        <v>-6.8748601222427985E-2</v>
      </c>
      <c r="Q32" s="313">
        <f ca="1">Q31+P32</f>
        <v>-120.12148924428612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31" t="s">
        <v>1374</v>
      </c>
      <c r="G33" s="631"/>
      <c r="H33" s="631"/>
      <c r="I33" s="321"/>
      <c r="J33" s="322">
        <f ca="1">SUM(J7:J32)</f>
        <v>573.4771583986045</v>
      </c>
      <c r="K33" s="631" t="s">
        <v>1375</v>
      </c>
      <c r="L33" s="631"/>
      <c r="M33" s="322">
        <f>SUM(M7:M32)</f>
        <v>433.30391999999961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-206.09701000061656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0.75557310985143855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-107.25132968239831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1" priority="1" stopIfTrue="1" operator="greaterThanOrEqual">
      <formula>$F$7</formula>
    </cfRule>
    <cfRule type="cellIs" dxfId="30" priority="2" stopIfTrue="1" operator="lessThan">
      <formula>$F$7</formula>
    </cfRule>
  </conditionalFormatting>
  <conditionalFormatting sqref="Q7:Q32">
    <cfRule type="cellIs" dxfId="29" priority="3" operator="lessThan">
      <formula>0</formula>
    </cfRule>
    <cfRule type="cellIs" dxfId="28" priority="4" operator="lessThan">
      <formula>0</formula>
    </cfRule>
    <cfRule type="cellIs" dxfId="27" priority="5" operator="lessThan">
      <formula>-6395.81</formula>
    </cfRule>
    <cfRule type="cellIs" dxfId="2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54"/>
  <sheetViews>
    <sheetView showGridLines="0" zoomScale="70" zoomScaleNormal="70" zoomScaleSheetLayoutView="70" workbookViewId="0">
      <pane ySplit="13" topLeftCell="A245" activePane="bottomLeft" state="frozen"/>
      <selection activeCell="H1093" sqref="H1093"/>
      <selection pane="bottomLeft" activeCell="I252" sqref="I252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406" customWidth="1"/>
    <col min="4" max="4" width="13.7109375" style="406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0" width="16.7109375" style="339" customWidth="1"/>
    <col min="11" max="11" width="19.5703125" style="339" bestFit="1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34" t="s">
        <v>1036</v>
      </c>
      <c r="P3" s="634"/>
      <c r="Q3" s="343"/>
      <c r="T3" s="341"/>
      <c r="U3" s="342" t="s">
        <v>1041</v>
      </c>
      <c r="V3" s="341"/>
    </row>
    <row r="4" spans="1:22" ht="15.75" customHeight="1">
      <c r="B4" s="635" t="s">
        <v>1023</v>
      </c>
      <c r="C4" s="635"/>
      <c r="D4" s="635"/>
      <c r="E4" s="635"/>
      <c r="F4" s="635"/>
      <c r="G4" s="635"/>
      <c r="H4" s="635"/>
      <c r="I4" s="635"/>
      <c r="J4" s="635"/>
      <c r="K4" s="635"/>
      <c r="O4" s="634"/>
      <c r="P4" s="634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51" t="str">
        <f>DATA!D14</f>
        <v>BATCHING PLAN MJA</v>
      </c>
      <c r="H6" s="652"/>
      <c r="I6" s="652"/>
      <c r="J6" s="652"/>
      <c r="K6" s="652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1623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37" t="s">
        <v>0</v>
      </c>
      <c r="C11" s="639" t="s">
        <v>1</v>
      </c>
      <c r="D11" s="642" t="s">
        <v>42</v>
      </c>
      <c r="E11" s="642" t="s">
        <v>43</v>
      </c>
      <c r="F11" s="642" t="s">
        <v>2</v>
      </c>
      <c r="G11" s="644" t="s">
        <v>41</v>
      </c>
      <c r="H11" s="642" t="s">
        <v>3</v>
      </c>
      <c r="I11" s="642"/>
      <c r="J11" s="642"/>
      <c r="K11" s="662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38"/>
      <c r="C12" s="640"/>
      <c r="D12" s="643"/>
      <c r="E12" s="643"/>
      <c r="F12" s="643"/>
      <c r="G12" s="645"/>
      <c r="H12" s="647" t="s">
        <v>46</v>
      </c>
      <c r="I12" s="647" t="s">
        <v>5</v>
      </c>
      <c r="J12" s="643" t="s">
        <v>47</v>
      </c>
      <c r="K12" s="663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38"/>
      <c r="C13" s="641"/>
      <c r="D13" s="643"/>
      <c r="E13" s="643"/>
      <c r="F13" s="643"/>
      <c r="G13" s="646"/>
      <c r="H13" s="648"/>
      <c r="I13" s="648"/>
      <c r="J13" s="643"/>
      <c r="K13" s="663"/>
      <c r="O13" s="352"/>
      <c r="P13" s="352"/>
      <c r="Q13" s="352"/>
      <c r="S13" s="350"/>
      <c r="T13" s="350"/>
      <c r="U13" s="350"/>
      <c r="V13" s="350"/>
    </row>
    <row r="14" spans="1:22" s="362" customFormat="1" ht="15.75" customHeight="1">
      <c r="A14" s="333"/>
      <c r="B14" s="353"/>
      <c r="C14" s="354"/>
      <c r="D14" s="355" t="str">
        <f ca="1">IF(ISERROR(OFFSET('HARGA SATUAN'!$D$6,MATCH(RAB!C14,'HARGA SATUAN'!$C$7:$C$1492,0),0)),"",OFFSET('HARGA SATUAN'!$D$6,MATCH(RAB!C14,'HARGA SATUAN'!$C$7:$C$1492,0),0))</f>
        <v/>
      </c>
      <c r="E14" s="356" t="str">
        <f ca="1">IF(B14="+","Unit",IF(ISERROR(OFFSET('HARGA SATUAN'!$E$6,MATCH(RAB!C14,'HARGA SATUAN'!$C$7:$C$1492,0),0)),"",OFFSET('HARGA SATUAN'!$E$6,MATCH(RAB!C14,'HARGA SATUAN'!$C$7:$C$1492,0),0)))</f>
        <v/>
      </c>
      <c r="F14" s="365"/>
      <c r="G14" s="357">
        <f ca="1">IF(ISERROR(OFFSET('HARGA SATUAN'!$I$6,MATCH(RAB!C14,'HARGA SATUAN'!$C$7:$C$1492,0),0)),0,OFFSET('HARGA SATUAN'!$I$6,MATCH(RAB!C14,'HARGA SATUAN'!$C$7:$C$1492,0),0))</f>
        <v>0</v>
      </c>
      <c r="H14" s="358">
        <f t="shared" ref="H14" ca="1" si="0">IF(OR(D14="MDU",D14="MDU-KD"),(IF($O$3="RAB NON MDU","PLN KD",G14*F14)),0)</f>
        <v>0</v>
      </c>
      <c r="I14" s="358">
        <f t="shared" ref="I14" ca="1" si="1">IF(D14="HDW",G14*F14,0)</f>
        <v>0</v>
      </c>
      <c r="J14" s="358">
        <f t="shared" ref="J14" ca="1" si="2">IF(D14="JASA",G14*F14,0)</f>
        <v>0</v>
      </c>
      <c r="K14" s="359">
        <f t="shared" ref="K14" ca="1" si="3">SUM(H14:J14)</f>
        <v>0</v>
      </c>
      <c r="L14" s="339"/>
      <c r="M14" s="339"/>
      <c r="N14" s="339"/>
      <c r="O14" s="360"/>
      <c r="P14" s="360"/>
      <c r="Q14" s="341"/>
      <c r="R14" s="333"/>
      <c r="S14" s="361"/>
      <c r="T14" s="338"/>
      <c r="U14" s="338"/>
      <c r="V14" s="338"/>
    </row>
    <row r="15" spans="1:22" s="367" customFormat="1">
      <c r="A15" s="333" t="e">
        <f>IF(AND(C15=0,#REF!=0,#REF!=0),"BLANKS",1)</f>
        <v>#REF!</v>
      </c>
      <c r="B15" s="363" t="s">
        <v>10</v>
      </c>
      <c r="C15" s="364" t="s">
        <v>1607</v>
      </c>
      <c r="D15" s="355" t="str">
        <f ca="1">IF(ISERROR(OFFSET('HARGA SATUAN'!$D$6,MATCH(RAB!C15,'HARGA SATUAN'!$C$7:$C$1492,0),0)),"",OFFSET('HARGA SATUAN'!$D$6,MATCH(RAB!C15,'HARGA SATUAN'!$C$7:$C$1492,0),0))</f>
        <v/>
      </c>
      <c r="E15" s="356" t="str">
        <f ca="1">IF(B15="+","Unit",IF(ISERROR(OFFSET('HARGA SATUAN'!$E$6,MATCH(RAB!C15,'HARGA SATUAN'!$C$7:$C$1492,0),0)),"",OFFSET('HARGA SATUAN'!$E$6,MATCH(RAB!C15,'HARGA SATUAN'!$C$7:$C$1492,0),0)))</f>
        <v/>
      </c>
      <c r="F15" s="365"/>
      <c r="G15" s="357">
        <f ca="1">IF(ISERROR(OFFSET('HARGA SATUAN'!$I$6,MATCH(RAB!C15,'HARGA SATUAN'!$C$7:$C$1492,0),0)),0,OFFSET('HARGA SATUAN'!$I$6,MATCH(RAB!C15,'HARGA SATUAN'!$C$7:$C$1492,0),0))</f>
        <v>0</v>
      </c>
      <c r="H15" s="358">
        <f t="shared" ref="H15:H21" ca="1" si="4">IF(OR(D15="MDU",D15="MDU-KD"),(IF($O$3="RAB NON MDU","PLN KD",G15*F15)),0)</f>
        <v>0</v>
      </c>
      <c r="I15" s="358">
        <f t="shared" ref="I15:I21" ca="1" si="5">IF(D15="HDW",G15*F15,0)</f>
        <v>0</v>
      </c>
      <c r="J15" s="358">
        <f t="shared" ref="J15:J21" ca="1" si="6">IF(D15="JASA",G15*F15,0)</f>
        <v>0</v>
      </c>
      <c r="K15" s="359">
        <f t="shared" ref="K15:K21" ca="1" si="7">SUM(H15:J15)</f>
        <v>0</v>
      </c>
      <c r="L15" s="366"/>
      <c r="M15" s="366"/>
      <c r="N15" s="366"/>
      <c r="O15" s="360"/>
      <c r="P15" s="360"/>
      <c r="Q15" s="341"/>
      <c r="R15" s="333"/>
      <c r="S15" s="361"/>
      <c r="T15" s="338"/>
      <c r="U15" s="338"/>
      <c r="V15" s="338"/>
    </row>
    <row r="16" spans="1:22" s="367" customFormat="1">
      <c r="A16" s="333" t="e">
        <f>IF(AND(C16=0,#REF!=0,#REF!=0),"BLANKS",1)</f>
        <v>#REF!</v>
      </c>
      <c r="B16" s="368"/>
      <c r="C16" s="369"/>
      <c r="D16" s="355" t="str">
        <f ca="1">IF(ISERROR(OFFSET('HARGA SATUAN'!$D$6,MATCH(RAB!C16,'HARGA SATUAN'!$C$7:$C$1492,0),0)),"",OFFSET('HARGA SATUAN'!$D$6,MATCH(RAB!C16,'HARGA SATUAN'!$C$7:$C$1492,0),0))</f>
        <v/>
      </c>
      <c r="E16" s="356" t="str">
        <f ca="1">IF(B16="+","Unit",IF(ISERROR(OFFSET('HARGA SATUAN'!$E$6,MATCH(RAB!C16,'HARGA SATUAN'!$C$7:$C$1492,0),0)),"",OFFSET('HARGA SATUAN'!$E$6,MATCH(RAB!C16,'HARGA SATUAN'!$C$7:$C$1492,0),0)))</f>
        <v/>
      </c>
      <c r="F16" s="365"/>
      <c r="G16" s="357">
        <f ca="1">IF(ISERROR(OFFSET('HARGA SATUAN'!$I$6,MATCH(RAB!C16,'HARGA SATUAN'!$C$7:$C$1492,0),0)),0,OFFSET('HARGA SATUAN'!$I$6,MATCH(RAB!C16,'HARGA SATUAN'!$C$7:$C$1492,0),0))</f>
        <v>0</v>
      </c>
      <c r="H16" s="358">
        <f t="shared" ca="1" si="4"/>
        <v>0</v>
      </c>
      <c r="I16" s="358">
        <f t="shared" ca="1" si="5"/>
        <v>0</v>
      </c>
      <c r="J16" s="358">
        <f t="shared" ca="1" si="6"/>
        <v>0</v>
      </c>
      <c r="K16" s="359">
        <f t="shared" ca="1" si="7"/>
        <v>0</v>
      </c>
      <c r="L16" s="366"/>
      <c r="M16" s="366"/>
      <c r="N16" s="366"/>
      <c r="O16" s="360"/>
      <c r="P16" s="360"/>
      <c r="Q16" s="341"/>
      <c r="R16" s="333"/>
      <c r="S16" s="361"/>
      <c r="T16" s="338"/>
      <c r="U16" s="338"/>
      <c r="V16" s="338"/>
    </row>
    <row r="17" spans="1:22" s="367" customFormat="1">
      <c r="A17" s="333"/>
      <c r="B17" s="368">
        <v>1</v>
      </c>
      <c r="C17" s="109" t="s">
        <v>103</v>
      </c>
      <c r="D17" s="355" t="str">
        <f ca="1">IF(ISERROR(OFFSET('HARGA SATUAN'!$D$6,MATCH(RAB!C17,'HARGA SATUAN'!$C$7:$C$1492,0),0)),"",OFFSET('HARGA SATUAN'!$D$6,MATCH(RAB!C17,'HARGA SATUAN'!$C$7:$C$1492,0),0))</f>
        <v>HDW</v>
      </c>
      <c r="E17" s="356" t="str">
        <f ca="1">IF(B17="+","Unit",IF(ISERROR(OFFSET('HARGA SATUAN'!$E$6,MATCH(RAB!C17,'HARGA SATUAN'!$C$7:$C$1492,0),0)),"",OFFSET('HARGA SATUAN'!$E$6,MATCH(RAB!C17,'HARGA SATUAN'!$C$7:$C$1492,0),0)))</f>
        <v>Btg</v>
      </c>
      <c r="F17" s="365">
        <v>5</v>
      </c>
      <c r="G17" s="357">
        <f ca="1">IF(ISERROR(OFFSET('HARGA SATUAN'!$I$6,MATCH(RAB!C17,'HARGA SATUAN'!$C$7:$C$1492,0),0)),0,OFFSET('HARGA SATUAN'!$I$6,MATCH(RAB!C17,'HARGA SATUAN'!$C$7:$C$1492,0),0))</f>
        <v>5800000</v>
      </c>
      <c r="H17" s="358">
        <f t="shared" ca="1" si="4"/>
        <v>0</v>
      </c>
      <c r="I17" s="358">
        <f t="shared" ca="1" si="5"/>
        <v>29000000</v>
      </c>
      <c r="J17" s="358">
        <f t="shared" ca="1" si="6"/>
        <v>0</v>
      </c>
      <c r="K17" s="359">
        <f t="shared" ca="1" si="7"/>
        <v>29000000</v>
      </c>
      <c r="L17" s="366"/>
      <c r="M17" s="366"/>
      <c r="N17" s="366"/>
      <c r="O17" s="360"/>
      <c r="P17" s="360"/>
      <c r="Q17" s="341"/>
      <c r="R17" s="333"/>
      <c r="S17" s="361"/>
      <c r="T17" s="338"/>
      <c r="U17" s="338"/>
      <c r="V17" s="338"/>
    </row>
    <row r="18" spans="1:22" s="367" customFormat="1">
      <c r="A18" s="333"/>
      <c r="B18" s="368">
        <v>2</v>
      </c>
      <c r="C18" s="109" t="s">
        <v>104</v>
      </c>
      <c r="D18" s="355" t="str">
        <f ca="1">IF(ISERROR(OFFSET('HARGA SATUAN'!$D$6,MATCH(RAB!C18,'HARGA SATUAN'!$C$7:$C$1492,0),0)),"",OFFSET('HARGA SATUAN'!$D$6,MATCH(RAB!C18,'HARGA SATUAN'!$C$7:$C$1492,0),0))</f>
        <v>HDW</v>
      </c>
      <c r="E18" s="356" t="str">
        <f ca="1">IF(B18="+","Unit",IF(ISERROR(OFFSET('HARGA SATUAN'!$E$6,MATCH(RAB!C18,'HARGA SATUAN'!$C$7:$C$1492,0),0)),"",OFFSET('HARGA SATUAN'!$E$6,MATCH(RAB!C18,'HARGA SATUAN'!$C$7:$C$1492,0),0)))</f>
        <v>Btg</v>
      </c>
      <c r="F18" s="365">
        <v>2</v>
      </c>
      <c r="G18" s="357">
        <f ca="1">IF(ISERROR(OFFSET('HARGA SATUAN'!$I$6,MATCH(RAB!C18,'HARGA SATUAN'!$C$7:$C$1492,0),0)),0,OFFSET('HARGA SATUAN'!$I$6,MATCH(RAB!C18,'HARGA SATUAN'!$C$7:$C$1492,0),0))</f>
        <v>6074400</v>
      </c>
      <c r="H18" s="358">
        <f t="shared" ref="H18:H20" ca="1" si="8">IF(OR(D18="MDU",D18="MDU-KD"),(IF($O$3="RAB NON MDU","PLN KD",G18*F18)),0)</f>
        <v>0</v>
      </c>
      <c r="I18" s="358">
        <f t="shared" ref="I18:I20" ca="1" si="9">IF(D18="HDW",G18*F18,0)</f>
        <v>12148800</v>
      </c>
      <c r="J18" s="358">
        <f t="shared" ref="J18:J20" ca="1" si="10">IF(D18="JASA",G18*F18,0)</f>
        <v>0</v>
      </c>
      <c r="K18" s="359">
        <f t="shared" ref="K18:K20" ca="1" si="11">SUM(H18:J18)</f>
        <v>12148800</v>
      </c>
      <c r="L18" s="366"/>
      <c r="M18" s="366"/>
      <c r="N18" s="366"/>
      <c r="O18" s="360"/>
      <c r="P18" s="360"/>
      <c r="Q18" s="341"/>
      <c r="R18" s="333"/>
      <c r="S18" s="361"/>
      <c r="T18" s="338"/>
      <c r="U18" s="338"/>
      <c r="V18" s="338"/>
    </row>
    <row r="19" spans="1:22" s="367" customFormat="1">
      <c r="A19" s="333"/>
      <c r="B19" s="368">
        <v>3</v>
      </c>
      <c r="C19" s="109" t="s">
        <v>101</v>
      </c>
      <c r="D19" s="534" t="s">
        <v>1646</v>
      </c>
      <c r="E19" s="356" t="str">
        <f ca="1">IF(B19="+","Unit",IF(ISERROR(OFFSET('HARGA SATUAN'!$E$6,MATCH(RAB!C19,'HARGA SATUAN'!$C$7:$C$1492,0),0)),"",OFFSET('HARGA SATUAN'!$E$6,MATCH(RAB!C19,'HARGA SATUAN'!$C$7:$C$1492,0),0)))</f>
        <v>Btg</v>
      </c>
      <c r="F19" s="365">
        <v>2</v>
      </c>
      <c r="G19" s="357">
        <f ca="1">IF(ISERROR(OFFSET('HARGA SATUAN'!$I$6,MATCH(RAB!C19,'HARGA SATUAN'!$C$7:$C$1492,0),0)),0,OFFSET('HARGA SATUAN'!$I$6,MATCH(RAB!C19,'HARGA SATUAN'!$C$7:$C$1492,0),0))</f>
        <v>3382600</v>
      </c>
      <c r="H19" s="358">
        <f t="shared" si="8"/>
        <v>0</v>
      </c>
      <c r="I19" s="358">
        <f t="shared" si="9"/>
        <v>0</v>
      </c>
      <c r="J19" s="358">
        <f t="shared" si="10"/>
        <v>0</v>
      </c>
      <c r="K19" s="359">
        <f t="shared" si="11"/>
        <v>0</v>
      </c>
      <c r="L19" s="366"/>
      <c r="M19" s="366"/>
      <c r="N19" s="366"/>
      <c r="O19" s="360"/>
      <c r="P19" s="360"/>
      <c r="Q19" s="341"/>
      <c r="R19" s="333"/>
      <c r="S19" s="361"/>
      <c r="T19" s="338"/>
      <c r="U19" s="338"/>
      <c r="V19" s="338"/>
    </row>
    <row r="20" spans="1:22" s="367" customFormat="1">
      <c r="A20" s="333"/>
      <c r="B20" s="368">
        <v>4</v>
      </c>
      <c r="C20" s="109" t="s">
        <v>6</v>
      </c>
      <c r="D20" s="355" t="str">
        <f ca="1">IF(ISERROR(OFFSET('HARGA SATUAN'!$D$6,MATCH(RAB!C20,'HARGA SATUAN'!$C$7:$C$1492,0),0)),"",OFFSET('HARGA SATUAN'!$D$6,MATCH(RAB!C20,'HARGA SATUAN'!$C$7:$C$1492,0),0))</f>
        <v>JASA</v>
      </c>
      <c r="E20" s="356" t="str">
        <f ca="1">IF(B20="+","Unit",IF(ISERROR(OFFSET('HARGA SATUAN'!$E$6,MATCH(RAB!C20,'HARGA SATUAN'!$C$7:$C$1492,0),0)),"",OFFSET('HARGA SATUAN'!$E$6,MATCH(RAB!C20,'HARGA SATUAN'!$C$7:$C$1492,0),0)))</f>
        <v>Btg</v>
      </c>
      <c r="F20" s="365">
        <f>F17+F19</f>
        <v>7</v>
      </c>
      <c r="G20" s="357">
        <f ca="1">IF(ISERROR(OFFSET('HARGA SATUAN'!$I$6,MATCH(RAB!C20,'HARGA SATUAN'!$C$7:$C$1492,0),0)),0,OFFSET('HARGA SATUAN'!$I$6,MATCH(RAB!C20,'HARGA SATUAN'!$C$7:$C$1492,0),0))</f>
        <v>10066.666666666668</v>
      </c>
      <c r="H20" s="358">
        <f t="shared" ca="1" si="8"/>
        <v>0</v>
      </c>
      <c r="I20" s="358">
        <f t="shared" ca="1" si="9"/>
        <v>0</v>
      </c>
      <c r="J20" s="358">
        <f t="shared" ca="1" si="10"/>
        <v>70466.666666666672</v>
      </c>
      <c r="K20" s="359">
        <f t="shared" ca="1" si="11"/>
        <v>70466.666666666672</v>
      </c>
      <c r="L20" s="366"/>
      <c r="M20" s="366"/>
      <c r="N20" s="366"/>
      <c r="O20" s="360"/>
      <c r="P20" s="360"/>
      <c r="Q20" s="341"/>
      <c r="R20" s="333"/>
      <c r="S20" s="361"/>
      <c r="T20" s="338"/>
      <c r="U20" s="338"/>
      <c r="V20" s="338"/>
    </row>
    <row r="21" spans="1:22" s="367" customFormat="1">
      <c r="A21" s="333"/>
      <c r="B21" s="368">
        <v>5</v>
      </c>
      <c r="C21" s="109" t="s">
        <v>461</v>
      </c>
      <c r="D21" s="355" t="str">
        <f ca="1">IF(ISERROR(OFFSET('HARGA SATUAN'!$D$6,MATCH(RAB!C21,'HARGA SATUAN'!$C$7:$C$1492,0),0)),"",OFFSET('HARGA SATUAN'!$D$6,MATCH(RAB!C21,'HARGA SATUAN'!$C$7:$C$1492,0),0))</f>
        <v>HDW</v>
      </c>
      <c r="E21" s="356" t="str">
        <f ca="1">IF(B21="+","Unit",IF(ISERROR(OFFSET('HARGA SATUAN'!$E$6,MATCH(RAB!C21,'HARGA SATUAN'!$C$7:$C$1492,0),0)),"",OFFSET('HARGA SATUAN'!$E$6,MATCH(RAB!C21,'HARGA SATUAN'!$C$7:$C$1492,0),0)))</f>
        <v>Set</v>
      </c>
      <c r="F21" s="365">
        <v>3</v>
      </c>
      <c r="G21" s="357">
        <f ca="1">IF(ISERROR(OFFSET('HARGA SATUAN'!$I$6,MATCH(RAB!C21,'HARGA SATUAN'!$C$7:$C$1492,0),0)),0,OFFSET('HARGA SATUAN'!$I$6,MATCH(RAB!C21,'HARGA SATUAN'!$C$7:$C$1492,0),0))</f>
        <v>200000</v>
      </c>
      <c r="H21" s="358">
        <f t="shared" ca="1" si="4"/>
        <v>0</v>
      </c>
      <c r="I21" s="358">
        <f t="shared" ca="1" si="5"/>
        <v>600000</v>
      </c>
      <c r="J21" s="358">
        <f t="shared" ca="1" si="6"/>
        <v>0</v>
      </c>
      <c r="K21" s="359">
        <f t="shared" ca="1" si="7"/>
        <v>600000</v>
      </c>
      <c r="L21" s="366"/>
      <c r="M21" s="366"/>
      <c r="N21" s="366"/>
      <c r="O21" s="360"/>
      <c r="P21" s="360"/>
      <c r="Q21" s="341"/>
      <c r="R21" s="333"/>
      <c r="S21" s="361"/>
      <c r="T21" s="338"/>
      <c r="U21" s="338"/>
      <c r="V21" s="338"/>
    </row>
    <row r="22" spans="1:22" s="367" customFormat="1">
      <c r="A22" s="333"/>
      <c r="B22" s="368"/>
      <c r="C22" s="369"/>
      <c r="D22" s="355"/>
      <c r="E22" s="356"/>
      <c r="F22" s="365"/>
      <c r="G22" s="357"/>
      <c r="H22" s="358"/>
      <c r="I22" s="358"/>
      <c r="J22" s="358"/>
      <c r="K22" s="359"/>
      <c r="L22" s="366"/>
      <c r="M22" s="366"/>
      <c r="N22" s="366"/>
      <c r="O22" s="360"/>
      <c r="P22" s="360"/>
      <c r="Q22" s="341"/>
      <c r="R22" s="333"/>
      <c r="S22" s="361"/>
      <c r="T22" s="338"/>
      <c r="U22" s="338"/>
      <c r="V22" s="338"/>
    </row>
    <row r="23" spans="1:22" s="367" customFormat="1">
      <c r="A23" s="333"/>
      <c r="B23" s="363" t="s">
        <v>1608</v>
      </c>
      <c r="C23" s="364" t="s">
        <v>1609</v>
      </c>
      <c r="D23" s="355" t="str">
        <f ca="1">IF(ISERROR(OFFSET('HARGA SATUAN'!$D$6,MATCH(RAB!C23,'HARGA SATUAN'!$C$7:$C$1492,0),0)),"",OFFSET('HARGA SATUAN'!$D$6,MATCH(RAB!C23,'HARGA SATUAN'!$C$7:$C$1492,0),0))</f>
        <v/>
      </c>
      <c r="E23" s="356" t="str">
        <f ca="1">IF(B23="+","Unit",IF(ISERROR(OFFSET('HARGA SATUAN'!$E$6,MATCH(RAB!C23,'HARGA SATUAN'!$C$7:$C$1492,0),0)),"",OFFSET('HARGA SATUAN'!$E$6,MATCH(RAB!C23,'HARGA SATUAN'!$C$7:$C$1492,0),0)))</f>
        <v/>
      </c>
      <c r="F23" s="365"/>
      <c r="G23" s="357">
        <f ca="1">IF(ISERROR(OFFSET('HARGA SATUAN'!$I$6,MATCH(RAB!C23,'HARGA SATUAN'!$C$7:$C$1492,0),0)),0,OFFSET('HARGA SATUAN'!$I$6,MATCH(RAB!C23,'HARGA SATUAN'!$C$7:$C$1492,0),0))</f>
        <v>0</v>
      </c>
      <c r="H23" s="358">
        <f t="shared" ref="H23:H214" ca="1" si="12">IF(OR(D23="MDU",D23="MDU-KD"),(IF($O$3="RAB NON MDU","PLN KD",G23*F23)),0)</f>
        <v>0</v>
      </c>
      <c r="I23" s="358">
        <f t="shared" ref="I23:I214" ca="1" si="13">IF(D23="HDW",G23*F23,0)</f>
        <v>0</v>
      </c>
      <c r="J23" s="358">
        <f t="shared" ref="J23:J214" ca="1" si="14">IF(D23="JASA",G23*F23,0)</f>
        <v>0</v>
      </c>
      <c r="K23" s="359">
        <f t="shared" ref="K23:K214" ca="1" si="15">SUM(H23:J23)</f>
        <v>0</v>
      </c>
      <c r="L23" s="366"/>
      <c r="M23" s="366"/>
      <c r="N23" s="366"/>
      <c r="O23" s="360"/>
      <c r="P23" s="360"/>
      <c r="Q23" s="341"/>
      <c r="R23" s="333"/>
      <c r="S23" s="361"/>
      <c r="T23" s="338"/>
      <c r="U23" s="338"/>
      <c r="V23" s="338"/>
    </row>
    <row r="24" spans="1:22" s="367" customFormat="1">
      <c r="A24" s="333"/>
      <c r="B24" s="505"/>
      <c r="C24" s="506"/>
      <c r="D24" s="355" t="str">
        <f ca="1">IF(ISERROR(OFFSET('HARGA SATUAN'!$D$6,MATCH(RAB!C24,'HARGA SATUAN'!$C$7:$C$1492,0),0)),"",OFFSET('HARGA SATUAN'!$D$6,MATCH(RAB!C24,'HARGA SATUAN'!$C$7:$C$1492,0),0))</f>
        <v/>
      </c>
      <c r="E24" s="356" t="str">
        <f ca="1">IF(B24="+","Unit",IF(ISERROR(OFFSET('HARGA SATUAN'!$E$6,MATCH(RAB!C24,'HARGA SATUAN'!$C$7:$C$1492,0),0)),"",OFFSET('HARGA SATUAN'!$E$6,MATCH(RAB!C24,'HARGA SATUAN'!$C$7:$C$1492,0),0)))</f>
        <v/>
      </c>
      <c r="F24" s="494"/>
      <c r="G24" s="357">
        <f ca="1">IF(ISERROR(OFFSET('HARGA SATUAN'!$I$6,MATCH(RAB!C24,'HARGA SATUAN'!$C$7:$C$1492,0),0)),0,OFFSET('HARGA SATUAN'!$I$6,MATCH(RAB!C24,'HARGA SATUAN'!$C$7:$C$1492,0),0))</f>
        <v>0</v>
      </c>
      <c r="H24" s="358">
        <f t="shared" ref="H24" ca="1" si="16">IF(OR(D24="MDU",D24="MDU-KD"),(IF($O$3="RAB NON MDU","PLN KD",G24*F24)),0)</f>
        <v>0</v>
      </c>
      <c r="I24" s="358">
        <f t="shared" ref="I24" ca="1" si="17">IF(D24="HDW",G24*F24,0)</f>
        <v>0</v>
      </c>
      <c r="J24" s="358">
        <f t="shared" ref="J24" ca="1" si="18">IF(D24="JASA",G24*F24,0)</f>
        <v>0</v>
      </c>
      <c r="K24" s="359">
        <f t="shared" ref="K24" ca="1" si="19">SUM(H24:J24)</f>
        <v>0</v>
      </c>
      <c r="L24" s="366"/>
      <c r="M24" s="366"/>
      <c r="N24" s="366"/>
      <c r="O24" s="360"/>
      <c r="P24" s="360"/>
      <c r="Q24" s="341"/>
      <c r="R24" s="333"/>
      <c r="S24" s="361"/>
      <c r="T24" s="338"/>
      <c r="U24" s="338"/>
      <c r="V24" s="338"/>
    </row>
    <row r="25" spans="1:22" s="367" customFormat="1">
      <c r="A25" s="333"/>
      <c r="B25" s="507" t="s">
        <v>1035</v>
      </c>
      <c r="C25" s="508" t="s">
        <v>1626</v>
      </c>
      <c r="D25" s="355" t="str">
        <f ca="1">IF(ISERROR(OFFSET('HARGA SATUAN'!$D$6,MATCH(RAB!C25,'HARGA SATUAN'!$C$7:$C$1492,0),0)),"",OFFSET('HARGA SATUAN'!$D$6,MATCH(RAB!C25,'HARGA SATUAN'!$C$7:$C$1492,0),0))</f>
        <v/>
      </c>
      <c r="E25" s="356" t="str">
        <f ca="1">IF(B25="+","Unit",IF(ISERROR(OFFSET('HARGA SATUAN'!$E$6,MATCH(RAB!C25,'HARGA SATUAN'!$C$7:$C$1492,0),0)),"",OFFSET('HARGA SATUAN'!$E$6,MATCH(RAB!C25,'HARGA SATUAN'!$C$7:$C$1492,0),0)))</f>
        <v>Unit</v>
      </c>
      <c r="F25" s="494">
        <v>4</v>
      </c>
      <c r="G25" s="357">
        <f ca="1">IF(ISERROR(OFFSET('HARGA SATUAN'!$I$6,MATCH(RAB!C25,'HARGA SATUAN'!$C$7:$C$1492,0),0)),0,OFFSET('HARGA SATUAN'!$I$6,MATCH(RAB!C25,'HARGA SATUAN'!$C$7:$C$1492,0),0))</f>
        <v>0</v>
      </c>
      <c r="H25" s="358">
        <f t="shared" ref="H25:H73" ca="1" si="20">IF(OR(D25="MDU",D25="MDU-KD"),(IF($O$3="RAB NON MDU","PLN KD",G25*F25)),0)</f>
        <v>0</v>
      </c>
      <c r="I25" s="358">
        <f t="shared" ref="I25:I73" ca="1" si="21">IF(D25="HDW",G25*F25,0)</f>
        <v>0</v>
      </c>
      <c r="J25" s="358">
        <f t="shared" ref="J25:J73" ca="1" si="22">IF(D25="JASA",G25*F25,0)</f>
        <v>0</v>
      </c>
      <c r="K25" s="359">
        <f t="shared" ref="K25:K73" ca="1" si="23">SUM(H25:J25)</f>
        <v>0</v>
      </c>
      <c r="L25" s="366"/>
      <c r="M25" s="366"/>
      <c r="N25" s="366"/>
      <c r="O25" s="360"/>
      <c r="P25" s="360"/>
      <c r="Q25" s="341"/>
      <c r="R25" s="333"/>
      <c r="S25" s="361"/>
      <c r="T25" s="338"/>
      <c r="U25" s="338"/>
      <c r="V25" s="338"/>
    </row>
    <row r="26" spans="1:22" s="367" customFormat="1">
      <c r="A26" s="333"/>
      <c r="B26" s="507">
        <v>1</v>
      </c>
      <c r="C26" s="109" t="s">
        <v>1559</v>
      </c>
      <c r="D26" s="355" t="str">
        <f ca="1">IF(ISERROR(OFFSET('HARGA SATUAN'!$D$6,MATCH(RAB!C26,'HARGA SATUAN'!$C$7:$C$1492,0),0)),"",OFFSET('HARGA SATUAN'!$D$6,MATCH(RAB!C26,'HARGA SATUAN'!$C$7:$C$1492,0),0))</f>
        <v>MDU-KD</v>
      </c>
      <c r="E26" s="356" t="str">
        <f ca="1">IF(B26="+","Unit",IF(ISERROR(OFFSET('HARGA SATUAN'!$E$6,MATCH(RAB!C26,'HARGA SATUAN'!$C$7:$C$1492,0),0)),"",OFFSET('HARGA SATUAN'!$E$6,MATCH(RAB!C26,'HARGA SATUAN'!$C$7:$C$1492,0),0)))</f>
        <v>Bh</v>
      </c>
      <c r="F26" s="494">
        <f>F25*1</f>
        <v>4</v>
      </c>
      <c r="G26" s="357">
        <f ca="1">IF(ISERROR(OFFSET('HARGA SATUAN'!$I$6,MATCH(RAB!C26,'HARGA SATUAN'!$C$7:$C$1492,0),0)),0,OFFSET('HARGA SATUAN'!$I$6,MATCH(RAB!C26,'HARGA SATUAN'!$C$7:$C$1492,0),0))</f>
        <v>235900</v>
      </c>
      <c r="H26" s="358">
        <f t="shared" ca="1" si="20"/>
        <v>943600</v>
      </c>
      <c r="I26" s="358">
        <f t="shared" ca="1" si="21"/>
        <v>0</v>
      </c>
      <c r="J26" s="358">
        <f t="shared" ca="1" si="22"/>
        <v>0</v>
      </c>
      <c r="K26" s="359">
        <f t="shared" ca="1" si="23"/>
        <v>943600</v>
      </c>
      <c r="L26" s="366"/>
      <c r="M26" s="366"/>
      <c r="N26" s="366"/>
      <c r="O26" s="360"/>
      <c r="P26" s="360"/>
      <c r="Q26" s="341"/>
      <c r="R26" s="333"/>
      <c r="S26" s="361"/>
      <c r="T26" s="338"/>
      <c r="U26" s="338"/>
      <c r="V26" s="338"/>
    </row>
    <row r="27" spans="1:22" s="367" customFormat="1">
      <c r="A27" s="333"/>
      <c r="B27" s="507">
        <v>2</v>
      </c>
      <c r="C27" s="109" t="s">
        <v>1559</v>
      </c>
      <c r="D27" s="355" t="str">
        <f ca="1">IF(ISERROR(OFFSET('HARGA SATUAN'!$D$6,MATCH(RAB!C27,'HARGA SATUAN'!$C$7:$C$1492,0),0)),"",OFFSET('HARGA SATUAN'!$D$6,MATCH(RAB!C27,'HARGA SATUAN'!$C$7:$C$1492,0),0))</f>
        <v>MDU-KD</v>
      </c>
      <c r="E27" s="356" t="str">
        <f ca="1">IF(B27="+","Unit",IF(ISERROR(OFFSET('HARGA SATUAN'!$E$6,MATCH(RAB!C27,'HARGA SATUAN'!$C$7:$C$1492,0),0)),"",OFFSET('HARGA SATUAN'!$E$6,MATCH(RAB!C27,'HARGA SATUAN'!$C$7:$C$1492,0),0)))</f>
        <v>Bh</v>
      </c>
      <c r="F27" s="494">
        <f>F25*2</f>
        <v>8</v>
      </c>
      <c r="G27" s="357">
        <f ca="1">IF(ISERROR(OFFSET('HARGA SATUAN'!$I$6,MATCH(RAB!C27,'HARGA SATUAN'!$C$7:$C$1492,0),0)),0,OFFSET('HARGA SATUAN'!$I$6,MATCH(RAB!C27,'HARGA SATUAN'!$C$7:$C$1492,0),0))</f>
        <v>235900</v>
      </c>
      <c r="H27" s="358">
        <f t="shared" ca="1" si="20"/>
        <v>1887200</v>
      </c>
      <c r="I27" s="358">
        <f t="shared" ca="1" si="21"/>
        <v>0</v>
      </c>
      <c r="J27" s="358">
        <f t="shared" ca="1" si="22"/>
        <v>0</v>
      </c>
      <c r="K27" s="359">
        <f t="shared" ca="1" si="23"/>
        <v>1887200</v>
      </c>
      <c r="L27" s="366"/>
      <c r="M27" s="366"/>
      <c r="N27" s="366"/>
      <c r="O27" s="360"/>
      <c r="P27" s="360"/>
      <c r="Q27" s="341"/>
      <c r="R27" s="333"/>
      <c r="S27" s="361"/>
      <c r="T27" s="338"/>
      <c r="U27" s="338"/>
      <c r="V27" s="338"/>
    </row>
    <row r="28" spans="1:22" s="367" customFormat="1">
      <c r="A28" s="333"/>
      <c r="B28" s="507">
        <v>3</v>
      </c>
      <c r="C28" s="508" t="s">
        <v>28</v>
      </c>
      <c r="D28" s="355" t="str">
        <f ca="1">IF(ISERROR(OFFSET('HARGA SATUAN'!$D$6,MATCH(RAB!C28,'HARGA SATUAN'!$C$7:$C$1492,0),0)),"",OFFSET('HARGA SATUAN'!$D$6,MATCH(RAB!C28,'HARGA SATUAN'!$C$7:$C$1492,0),0))</f>
        <v>HDW</v>
      </c>
      <c r="E28" s="356" t="str">
        <f ca="1">IF(B28="+","Unit",IF(ISERROR(OFFSET('HARGA SATUAN'!$E$6,MATCH(RAB!C28,'HARGA SATUAN'!$C$7:$C$1492,0),0)),"",OFFSET('HARGA SATUAN'!$E$6,MATCH(RAB!C28,'HARGA SATUAN'!$C$7:$C$1492,0),0)))</f>
        <v>Bh</v>
      </c>
      <c r="F28" s="494">
        <f>F25*3</f>
        <v>12</v>
      </c>
      <c r="G28" s="357">
        <f ca="1">IF(ISERROR(OFFSET('HARGA SATUAN'!$I$6,MATCH(RAB!C28,'HARGA SATUAN'!$C$7:$C$1492,0),0)),0,OFFSET('HARGA SATUAN'!$I$6,MATCH(RAB!C28,'HARGA SATUAN'!$C$7:$C$1492,0),0))</f>
        <v>26500</v>
      </c>
      <c r="H28" s="358">
        <f t="shared" ca="1" si="20"/>
        <v>0</v>
      </c>
      <c r="I28" s="358">
        <f t="shared" ca="1" si="21"/>
        <v>318000</v>
      </c>
      <c r="J28" s="358">
        <f t="shared" ca="1" si="22"/>
        <v>0</v>
      </c>
      <c r="K28" s="359">
        <f t="shared" ca="1" si="23"/>
        <v>318000</v>
      </c>
      <c r="L28" s="366"/>
      <c r="M28" s="366"/>
      <c r="N28" s="366"/>
      <c r="O28" s="360"/>
      <c r="P28" s="360"/>
      <c r="Q28" s="341"/>
      <c r="R28" s="333"/>
      <c r="S28" s="361"/>
      <c r="T28" s="338"/>
      <c r="U28" s="338"/>
      <c r="V28" s="338"/>
    </row>
    <row r="29" spans="1:22" s="367" customFormat="1">
      <c r="A29" s="333"/>
      <c r="B29" s="507">
        <v>4</v>
      </c>
      <c r="C29" s="508" t="s">
        <v>163</v>
      </c>
      <c r="D29" s="355" t="str">
        <f ca="1">IF(ISERROR(OFFSET('HARGA SATUAN'!$D$6,MATCH(RAB!C29,'HARGA SATUAN'!$C$7:$C$1492,0),0)),"",OFFSET('HARGA SATUAN'!$D$6,MATCH(RAB!C29,'HARGA SATUAN'!$C$7:$C$1492,0),0))</f>
        <v>HDW</v>
      </c>
      <c r="E29" s="356" t="str">
        <f ca="1">IF(B29="+","Unit",IF(ISERROR(OFFSET('HARGA SATUAN'!$E$6,MATCH(RAB!C29,'HARGA SATUAN'!$C$7:$C$1492,0),0)),"",OFFSET('HARGA SATUAN'!$E$6,MATCH(RAB!C29,'HARGA SATUAN'!$C$7:$C$1492,0),0)))</f>
        <v>Bh</v>
      </c>
      <c r="F29" s="494">
        <f>F25*2</f>
        <v>8</v>
      </c>
      <c r="G29" s="357">
        <f ca="1">IF(ISERROR(OFFSET('HARGA SATUAN'!$I$6,MATCH(RAB!C29,'HARGA SATUAN'!$C$7:$C$1492,0),0)),0,OFFSET('HARGA SATUAN'!$I$6,MATCH(RAB!C29,'HARGA SATUAN'!$C$7:$C$1492,0),0))</f>
        <v>7938</v>
      </c>
      <c r="H29" s="358">
        <f t="shared" ca="1" si="20"/>
        <v>0</v>
      </c>
      <c r="I29" s="358">
        <f t="shared" ca="1" si="21"/>
        <v>63504</v>
      </c>
      <c r="J29" s="358">
        <f t="shared" ca="1" si="22"/>
        <v>0</v>
      </c>
      <c r="K29" s="359">
        <f t="shared" ca="1" si="23"/>
        <v>63504</v>
      </c>
      <c r="L29" s="366"/>
      <c r="M29" s="366"/>
      <c r="N29" s="366"/>
      <c r="O29" s="360"/>
      <c r="P29" s="360"/>
      <c r="Q29" s="341"/>
      <c r="R29" s="333"/>
      <c r="S29" s="361"/>
      <c r="T29" s="338"/>
      <c r="U29" s="338"/>
      <c r="V29" s="338"/>
    </row>
    <row r="30" spans="1:22" s="367" customFormat="1">
      <c r="A30" s="333"/>
      <c r="B30" s="507">
        <v>5</v>
      </c>
      <c r="C30" s="508" t="s">
        <v>168</v>
      </c>
      <c r="D30" s="355" t="str">
        <f ca="1">IF(ISERROR(OFFSET('HARGA SATUAN'!$D$6,MATCH(RAB!C30,'HARGA SATUAN'!$C$7:$C$1492,0),0)),"",OFFSET('HARGA SATUAN'!$D$6,MATCH(RAB!C30,'HARGA SATUAN'!$C$7:$C$1492,0),0))</f>
        <v>HDW</v>
      </c>
      <c r="E30" s="356" t="str">
        <f ca="1">IF(B30="+","Unit",IF(ISERROR(OFFSET('HARGA SATUAN'!$E$6,MATCH(RAB!C30,'HARGA SATUAN'!$C$7:$C$1492,0),0)),"",OFFSET('HARGA SATUAN'!$E$6,MATCH(RAB!C30,'HARGA SATUAN'!$C$7:$C$1492,0),0)))</f>
        <v>Bh</v>
      </c>
      <c r="F30" s="494">
        <f>F25*1</f>
        <v>4</v>
      </c>
      <c r="G30" s="357">
        <f ca="1">IF(ISERROR(OFFSET('HARGA SATUAN'!$I$6,MATCH(RAB!C30,'HARGA SATUAN'!$C$7:$C$1492,0),0)),0,OFFSET('HARGA SATUAN'!$I$6,MATCH(RAB!C30,'HARGA SATUAN'!$C$7:$C$1492,0),0))</f>
        <v>33600</v>
      </c>
      <c r="H30" s="358">
        <f t="shared" ca="1" si="20"/>
        <v>0</v>
      </c>
      <c r="I30" s="358">
        <f t="shared" ca="1" si="21"/>
        <v>134400</v>
      </c>
      <c r="J30" s="358">
        <f t="shared" ca="1" si="22"/>
        <v>0</v>
      </c>
      <c r="K30" s="359">
        <f t="shared" ca="1" si="23"/>
        <v>134400</v>
      </c>
      <c r="L30" s="366"/>
      <c r="M30" s="366"/>
      <c r="N30" s="366"/>
      <c r="O30" s="360"/>
      <c r="P30" s="360"/>
      <c r="Q30" s="341"/>
      <c r="R30" s="333"/>
      <c r="S30" s="361"/>
      <c r="T30" s="338"/>
      <c r="U30" s="338"/>
      <c r="V30" s="338"/>
    </row>
    <row r="31" spans="1:22" s="367" customFormat="1">
      <c r="A31" s="333"/>
      <c r="B31" s="507">
        <v>6</v>
      </c>
      <c r="C31" s="508" t="s">
        <v>173</v>
      </c>
      <c r="D31" s="355" t="str">
        <f ca="1">IF(ISERROR(OFFSET('HARGA SATUAN'!$D$6,MATCH(RAB!C31,'HARGA SATUAN'!$C$7:$C$1492,0),0)),"",OFFSET('HARGA SATUAN'!$D$6,MATCH(RAB!C31,'HARGA SATUAN'!$C$7:$C$1492,0),0))</f>
        <v>HDW</v>
      </c>
      <c r="E31" s="356" t="str">
        <f ca="1">IF(B31="+","Unit",IF(ISERROR(OFFSET('HARGA SATUAN'!$E$6,MATCH(RAB!C31,'HARGA SATUAN'!$C$7:$C$1492,0),0)),"",OFFSET('HARGA SATUAN'!$E$6,MATCH(RAB!C31,'HARGA SATUAN'!$C$7:$C$1492,0),0)))</f>
        <v>Bh</v>
      </c>
      <c r="F31" s="494">
        <f>F25*2</f>
        <v>8</v>
      </c>
      <c r="G31" s="357">
        <f ca="1">IF(ISERROR(OFFSET('HARGA SATUAN'!$I$6,MATCH(RAB!C31,'HARGA SATUAN'!$C$7:$C$1492,0),0)),0,OFFSET('HARGA SATUAN'!$I$6,MATCH(RAB!C31,'HARGA SATUAN'!$C$7:$C$1492,0),0))</f>
        <v>45000</v>
      </c>
      <c r="H31" s="358">
        <f t="shared" ca="1" si="20"/>
        <v>0</v>
      </c>
      <c r="I31" s="358">
        <f t="shared" ca="1" si="21"/>
        <v>360000</v>
      </c>
      <c r="J31" s="358">
        <f t="shared" ca="1" si="22"/>
        <v>0</v>
      </c>
      <c r="K31" s="359">
        <f t="shared" ca="1" si="23"/>
        <v>360000</v>
      </c>
      <c r="L31" s="366"/>
      <c r="M31" s="366"/>
      <c r="N31" s="366"/>
      <c r="O31" s="360"/>
      <c r="P31" s="360"/>
      <c r="Q31" s="341"/>
      <c r="R31" s="333"/>
      <c r="S31" s="361"/>
      <c r="T31" s="338"/>
      <c r="U31" s="338"/>
      <c r="V31" s="338"/>
    </row>
    <row r="32" spans="1:22" s="362" customFormat="1">
      <c r="A32" s="333"/>
      <c r="B32" s="507">
        <v>7</v>
      </c>
      <c r="C32" s="508" t="s">
        <v>178</v>
      </c>
      <c r="D32" s="355" t="str">
        <f ca="1">IF(ISERROR(OFFSET('HARGA SATUAN'!$D$6,MATCH(RAB!C32,'HARGA SATUAN'!$C$7:$C$1492,0),0)),"",OFFSET('HARGA SATUAN'!$D$6,MATCH(RAB!C32,'HARGA SATUAN'!$C$7:$C$1492,0),0))</f>
        <v>HDW</v>
      </c>
      <c r="E32" s="356" t="str">
        <f ca="1">IF(B32="+","Unit",IF(ISERROR(OFFSET('HARGA SATUAN'!$E$6,MATCH(RAB!C32,'HARGA SATUAN'!$C$7:$C$1492,0),0)),"",OFFSET('HARGA SATUAN'!$E$6,MATCH(RAB!C32,'HARGA SATUAN'!$C$7:$C$1492,0),0)))</f>
        <v>Bh</v>
      </c>
      <c r="F32" s="494">
        <f>F25*1</f>
        <v>4</v>
      </c>
      <c r="G32" s="357">
        <f ca="1">IF(ISERROR(OFFSET('HARGA SATUAN'!$I$6,MATCH(RAB!C32,'HARGA SATUAN'!$C$7:$C$1492,0),0)),0,OFFSET('HARGA SATUAN'!$I$6,MATCH(RAB!C32,'HARGA SATUAN'!$C$7:$C$1492,0),0))</f>
        <v>95000</v>
      </c>
      <c r="H32" s="358">
        <f t="shared" ca="1" si="20"/>
        <v>0</v>
      </c>
      <c r="I32" s="358">
        <f t="shared" ca="1" si="21"/>
        <v>380000</v>
      </c>
      <c r="J32" s="358">
        <f t="shared" ca="1" si="22"/>
        <v>0</v>
      </c>
      <c r="K32" s="359">
        <f t="shared" ca="1" si="23"/>
        <v>380000</v>
      </c>
      <c r="L32" s="339"/>
      <c r="M32" s="339"/>
      <c r="N32" s="366"/>
      <c r="O32" s="341"/>
      <c r="P32" s="394"/>
      <c r="Q32" s="341"/>
    </row>
    <row r="33" spans="1:17" s="362" customFormat="1">
      <c r="A33" s="333"/>
      <c r="B33" s="507">
        <v>8</v>
      </c>
      <c r="C33" s="508" t="s">
        <v>593</v>
      </c>
      <c r="D33" s="355" t="str">
        <f ca="1">IF(ISERROR(OFFSET('HARGA SATUAN'!$D$6,MATCH(RAB!C33,'HARGA SATUAN'!$C$7:$C$1492,0),0)),"",OFFSET('HARGA SATUAN'!$D$6,MATCH(RAB!C33,'HARGA SATUAN'!$C$7:$C$1492,0),0))</f>
        <v>HDW</v>
      </c>
      <c r="E33" s="356" t="str">
        <f ca="1">IF(B33="+","Unit",IF(ISERROR(OFFSET('HARGA SATUAN'!$E$6,MATCH(RAB!C33,'HARGA SATUAN'!$C$7:$C$1492,0),0)),"",OFFSET('HARGA SATUAN'!$E$6,MATCH(RAB!C33,'HARGA SATUAN'!$C$7:$C$1492,0),0)))</f>
        <v>Bh</v>
      </c>
      <c r="F33" s="494">
        <f>F25*1</f>
        <v>4</v>
      </c>
      <c r="G33" s="357">
        <f ca="1">IF(ISERROR(OFFSET('HARGA SATUAN'!$I$6,MATCH(RAB!C33,'HARGA SATUAN'!$C$7:$C$1492,0),0)),0,OFFSET('HARGA SATUAN'!$I$6,MATCH(RAB!C33,'HARGA SATUAN'!$C$7:$C$1492,0),0))</f>
        <v>380500</v>
      </c>
      <c r="H33" s="358">
        <f t="shared" ca="1" si="20"/>
        <v>0</v>
      </c>
      <c r="I33" s="358">
        <f t="shared" ca="1" si="21"/>
        <v>1522000</v>
      </c>
      <c r="J33" s="358">
        <f t="shared" ca="1" si="22"/>
        <v>0</v>
      </c>
      <c r="K33" s="359">
        <f t="shared" ca="1" si="23"/>
        <v>1522000</v>
      </c>
      <c r="L33" s="339"/>
      <c r="M33" s="339"/>
      <c r="N33" s="366"/>
      <c r="O33" s="341"/>
      <c r="P33" s="394"/>
      <c r="Q33" s="341"/>
    </row>
    <row r="34" spans="1:17" s="362" customFormat="1">
      <c r="A34" s="333"/>
      <c r="B34" s="507">
        <v>9</v>
      </c>
      <c r="C34" s="508" t="s">
        <v>217</v>
      </c>
      <c r="D34" s="355" t="str">
        <f ca="1">IF(ISERROR(OFFSET('HARGA SATUAN'!$D$6,MATCH(RAB!C34,'HARGA SATUAN'!$C$7:$C$1492,0),0)),"",OFFSET('HARGA SATUAN'!$D$6,MATCH(RAB!C34,'HARGA SATUAN'!$C$7:$C$1492,0),0))</f>
        <v>HDW</v>
      </c>
      <c r="E34" s="356" t="str">
        <f ca="1">IF(B34="+","Unit",IF(ISERROR(OFFSET('HARGA SATUAN'!$E$6,MATCH(RAB!C34,'HARGA SATUAN'!$C$7:$C$1492,0),0)),"",OFFSET('HARGA SATUAN'!$E$6,MATCH(RAB!C34,'HARGA SATUAN'!$C$7:$C$1492,0),0)))</f>
        <v>Bh</v>
      </c>
      <c r="F34" s="494">
        <f>F25*4</f>
        <v>16</v>
      </c>
      <c r="G34" s="357">
        <f ca="1">IF(ISERROR(OFFSET('HARGA SATUAN'!$I$6,MATCH(RAB!C34,'HARGA SATUAN'!$C$7:$C$1492,0),0)),0,OFFSET('HARGA SATUAN'!$I$6,MATCH(RAB!C34,'HARGA SATUAN'!$C$7:$C$1492,0),0))</f>
        <v>11400</v>
      </c>
      <c r="H34" s="358">
        <f t="shared" ca="1" si="20"/>
        <v>0</v>
      </c>
      <c r="I34" s="358">
        <f t="shared" ca="1" si="21"/>
        <v>182400</v>
      </c>
      <c r="J34" s="358">
        <f t="shared" ca="1" si="22"/>
        <v>0</v>
      </c>
      <c r="K34" s="359">
        <f t="shared" ca="1" si="23"/>
        <v>182400</v>
      </c>
      <c r="L34" s="339"/>
      <c r="M34" s="339"/>
      <c r="N34" s="366"/>
      <c r="O34" s="341"/>
      <c r="P34" s="394"/>
      <c r="Q34" s="341"/>
    </row>
    <row r="35" spans="1:17" s="362" customFormat="1">
      <c r="A35" s="333"/>
      <c r="B35" s="507">
        <v>10</v>
      </c>
      <c r="C35" s="508" t="s">
        <v>247</v>
      </c>
      <c r="D35" s="355" t="str">
        <f ca="1">IF(ISERROR(OFFSET('HARGA SATUAN'!$D$6,MATCH(RAB!C35,'HARGA SATUAN'!$C$7:$C$1492,0),0)),"",OFFSET('HARGA SATUAN'!$D$6,MATCH(RAB!C35,'HARGA SATUAN'!$C$7:$C$1492,0),0))</f>
        <v>HDW</v>
      </c>
      <c r="E35" s="356" t="str">
        <f ca="1">IF(B35="+","Unit",IF(ISERROR(OFFSET('HARGA SATUAN'!$E$6,MATCH(RAB!C35,'HARGA SATUAN'!$C$7:$C$1492,0),0)),"",OFFSET('HARGA SATUAN'!$E$6,MATCH(RAB!C35,'HARGA SATUAN'!$C$7:$C$1492,0),0)))</f>
        <v>Bh</v>
      </c>
      <c r="F35" s="494">
        <f>F25*1</f>
        <v>4</v>
      </c>
      <c r="G35" s="357">
        <f ca="1">IF(ISERROR(OFFSET('HARGA SATUAN'!$I$6,MATCH(RAB!C35,'HARGA SATUAN'!$C$7:$C$1492,0),0)),0,OFFSET('HARGA SATUAN'!$I$6,MATCH(RAB!C35,'HARGA SATUAN'!$C$7:$C$1492,0),0))</f>
        <v>57690</v>
      </c>
      <c r="H35" s="358">
        <f t="shared" ca="1" si="20"/>
        <v>0</v>
      </c>
      <c r="I35" s="358">
        <f t="shared" ca="1" si="21"/>
        <v>230760</v>
      </c>
      <c r="J35" s="358">
        <f t="shared" ca="1" si="22"/>
        <v>0</v>
      </c>
      <c r="K35" s="359">
        <f t="shared" ca="1" si="23"/>
        <v>230760</v>
      </c>
      <c r="L35" s="339"/>
      <c r="M35" s="339"/>
      <c r="N35" s="366"/>
      <c r="O35" s="341"/>
      <c r="P35" s="394"/>
      <c r="Q35" s="341"/>
    </row>
    <row r="36" spans="1:17" s="362" customFormat="1">
      <c r="A36" s="333"/>
      <c r="B36" s="507">
        <v>11</v>
      </c>
      <c r="C36" s="508" t="s">
        <v>264</v>
      </c>
      <c r="D36" s="355" t="str">
        <f ca="1">IF(ISERROR(OFFSET('HARGA SATUAN'!$D$6,MATCH(RAB!C36,'HARGA SATUAN'!$C$7:$C$1492,0),0)),"",OFFSET('HARGA SATUAN'!$D$6,MATCH(RAB!C36,'HARGA SATUAN'!$C$7:$C$1492,0),0))</f>
        <v>HDW</v>
      </c>
      <c r="E36" s="356" t="str">
        <f ca="1">IF(B36="+","Unit",IF(ISERROR(OFFSET('HARGA SATUAN'!$E$6,MATCH(RAB!C36,'HARGA SATUAN'!$C$7:$C$1492,0),0)),"",OFFSET('HARGA SATUAN'!$E$6,MATCH(RAB!C36,'HARGA SATUAN'!$C$7:$C$1492,0),0)))</f>
        <v>Bh</v>
      </c>
      <c r="F36" s="494">
        <f>F25*1</f>
        <v>4</v>
      </c>
      <c r="G36" s="357">
        <f ca="1">IF(ISERROR(OFFSET('HARGA SATUAN'!$I$6,MATCH(RAB!C36,'HARGA SATUAN'!$C$7:$C$1492,0),0)),0,OFFSET('HARGA SATUAN'!$I$6,MATCH(RAB!C36,'HARGA SATUAN'!$C$7:$C$1492,0),0))</f>
        <v>28000</v>
      </c>
      <c r="H36" s="358">
        <f t="shared" ca="1" si="20"/>
        <v>0</v>
      </c>
      <c r="I36" s="358">
        <f t="shared" ca="1" si="21"/>
        <v>112000</v>
      </c>
      <c r="J36" s="358">
        <f t="shared" ca="1" si="22"/>
        <v>0</v>
      </c>
      <c r="K36" s="359">
        <f t="shared" ca="1" si="23"/>
        <v>112000</v>
      </c>
      <c r="L36" s="339"/>
      <c r="M36" s="339"/>
      <c r="N36" s="366"/>
      <c r="O36" s="341"/>
      <c r="P36" s="394"/>
      <c r="Q36" s="341"/>
    </row>
    <row r="37" spans="1:17" s="362" customFormat="1">
      <c r="A37" s="333"/>
      <c r="B37" s="507">
        <v>12</v>
      </c>
      <c r="C37" s="508" t="s">
        <v>38</v>
      </c>
      <c r="D37" s="355" t="str">
        <f ca="1">IF(ISERROR(OFFSET('HARGA SATUAN'!$D$6,MATCH(RAB!C37,'HARGA SATUAN'!$C$7:$C$1492,0),0)),"",OFFSET('HARGA SATUAN'!$D$6,MATCH(RAB!C37,'HARGA SATUAN'!$C$7:$C$1492,0),0))</f>
        <v>HDW</v>
      </c>
      <c r="E37" s="356" t="str">
        <f ca="1">IF(B37="+","Unit",IF(ISERROR(OFFSET('HARGA SATUAN'!$E$6,MATCH(RAB!C37,'HARGA SATUAN'!$C$7:$C$1492,0),0)),"",OFFSET('HARGA SATUAN'!$E$6,MATCH(RAB!C37,'HARGA SATUAN'!$C$7:$C$1492,0),0)))</f>
        <v>Mtr</v>
      </c>
      <c r="F37" s="494">
        <f>6.2*F25</f>
        <v>24.8</v>
      </c>
      <c r="G37" s="357">
        <f ca="1">IF(ISERROR(OFFSET('HARGA SATUAN'!$I$6,MATCH(RAB!C37,'HARGA SATUAN'!$C$7:$C$1492,0),0)),0,OFFSET('HARGA SATUAN'!$I$6,MATCH(RAB!C37,'HARGA SATUAN'!$C$7:$C$1492,0),0))</f>
        <v>8550</v>
      </c>
      <c r="H37" s="358">
        <f t="shared" ca="1" si="20"/>
        <v>0</v>
      </c>
      <c r="I37" s="358">
        <f t="shared" ca="1" si="21"/>
        <v>212040</v>
      </c>
      <c r="J37" s="358">
        <f t="shared" ca="1" si="22"/>
        <v>0</v>
      </c>
      <c r="K37" s="359">
        <f t="shared" ca="1" si="23"/>
        <v>212040</v>
      </c>
      <c r="L37" s="339"/>
      <c r="M37" s="339"/>
      <c r="N37" s="366"/>
      <c r="O37" s="341"/>
      <c r="P37" s="394"/>
      <c r="Q37" s="341"/>
    </row>
    <row r="38" spans="1:17" s="362" customFormat="1">
      <c r="A38" s="333"/>
      <c r="B38" s="507">
        <v>13</v>
      </c>
      <c r="C38" s="508" t="s">
        <v>26</v>
      </c>
      <c r="D38" s="355" t="str">
        <f ca="1">IF(ISERROR(OFFSET('HARGA SATUAN'!$D$6,MATCH(RAB!C38,'HARGA SATUAN'!$C$7:$C$1492,0),0)),"",OFFSET('HARGA SATUAN'!$D$6,MATCH(RAB!C38,'HARGA SATUAN'!$C$7:$C$1492,0),0))</f>
        <v>HDW</v>
      </c>
      <c r="E38" s="356" t="str">
        <f ca="1">IF(B38="+","Unit",IF(ISERROR(OFFSET('HARGA SATUAN'!$E$6,MATCH(RAB!C38,'HARGA SATUAN'!$C$7:$C$1492,0),0)),"",OFFSET('HARGA SATUAN'!$E$6,MATCH(RAB!C38,'HARGA SATUAN'!$C$7:$C$1492,0),0)))</f>
        <v>Bh</v>
      </c>
      <c r="F38" s="494">
        <f>F25*5</f>
        <v>20</v>
      </c>
      <c r="G38" s="357">
        <f ca="1">IF(ISERROR(OFFSET('HARGA SATUAN'!$I$6,MATCH(RAB!C38,'HARGA SATUAN'!$C$7:$C$1492,0),0)),0,OFFSET('HARGA SATUAN'!$I$6,MATCH(RAB!C38,'HARGA SATUAN'!$C$7:$C$1492,0),0))</f>
        <v>2500</v>
      </c>
      <c r="H38" s="358">
        <f t="shared" ca="1" si="20"/>
        <v>0</v>
      </c>
      <c r="I38" s="358">
        <f t="shared" ca="1" si="21"/>
        <v>50000</v>
      </c>
      <c r="J38" s="358">
        <f t="shared" ca="1" si="22"/>
        <v>0</v>
      </c>
      <c r="K38" s="359">
        <f t="shared" ca="1" si="23"/>
        <v>50000</v>
      </c>
      <c r="L38" s="339"/>
      <c r="M38" s="339"/>
      <c r="N38" s="366"/>
      <c r="O38" s="341"/>
      <c r="P38" s="394"/>
      <c r="Q38" s="341"/>
    </row>
    <row r="39" spans="1:17" s="362" customFormat="1">
      <c r="A39" s="333"/>
      <c r="B39" s="507">
        <v>14</v>
      </c>
      <c r="C39" s="508" t="s">
        <v>687</v>
      </c>
      <c r="D39" s="355" t="str">
        <f ca="1">IF(ISERROR(OFFSET('HARGA SATUAN'!$D$6,MATCH(RAB!C39,'HARGA SATUAN'!$C$7:$C$1492,0),0)),"",OFFSET('HARGA SATUAN'!$D$6,MATCH(RAB!C39,'HARGA SATUAN'!$C$7:$C$1492,0),0))</f>
        <v>JASA</v>
      </c>
      <c r="E39" s="356" t="str">
        <f ca="1">IF(B39="+","Unit",IF(ISERROR(OFFSET('HARGA SATUAN'!$E$6,MATCH(RAB!C39,'HARGA SATUAN'!$C$7:$C$1492,0),0)),"",OFFSET('HARGA SATUAN'!$E$6,MATCH(RAB!C39,'HARGA SATUAN'!$C$7:$C$1492,0),0)))</f>
        <v>Unit</v>
      </c>
      <c r="F39" s="494">
        <f>F25*1</f>
        <v>4</v>
      </c>
      <c r="G39" s="357">
        <f ca="1">IF(ISERROR(OFFSET('HARGA SATUAN'!$I$6,MATCH(RAB!C39,'HARGA SATUAN'!$C$7:$C$1492,0),0)),0,OFFSET('HARGA SATUAN'!$I$6,MATCH(RAB!C39,'HARGA SATUAN'!$C$7:$C$1492,0),0))</f>
        <v>111000</v>
      </c>
      <c r="H39" s="358">
        <f t="shared" ca="1" si="20"/>
        <v>0</v>
      </c>
      <c r="I39" s="358">
        <f t="shared" ca="1" si="21"/>
        <v>0</v>
      </c>
      <c r="J39" s="358">
        <f t="shared" ca="1" si="22"/>
        <v>444000</v>
      </c>
      <c r="K39" s="359">
        <f t="shared" ca="1" si="23"/>
        <v>444000</v>
      </c>
      <c r="L39" s="339"/>
      <c r="M39" s="339"/>
      <c r="N39" s="366"/>
      <c r="O39" s="341"/>
      <c r="P39" s="394"/>
      <c r="Q39" s="341"/>
    </row>
    <row r="40" spans="1:17" s="362" customFormat="1">
      <c r="A40" s="333"/>
      <c r="B40" s="490"/>
      <c r="C40" s="491"/>
      <c r="D40" s="355" t="str">
        <f ca="1">IF(ISERROR(OFFSET('HARGA SATUAN'!$D$6,MATCH(RAB!C40,'HARGA SATUAN'!$C$7:$C$1492,0),0)),"",OFFSET('HARGA SATUAN'!$D$6,MATCH(RAB!C40,'HARGA SATUAN'!$C$7:$C$1492,0),0))</f>
        <v/>
      </c>
      <c r="E40" s="356" t="str">
        <f ca="1">IF(B40="+","Unit",IF(ISERROR(OFFSET('HARGA SATUAN'!$E$6,MATCH(RAB!C40,'HARGA SATUAN'!$C$7:$C$1492,0),0)),"",OFFSET('HARGA SATUAN'!$E$6,MATCH(RAB!C40,'HARGA SATUAN'!$C$7:$C$1492,0),0)))</f>
        <v/>
      </c>
      <c r="F40" s="494"/>
      <c r="G40" s="357">
        <f ca="1">IF(ISERROR(OFFSET('HARGA SATUAN'!$I$6,MATCH(RAB!C40,'HARGA SATUAN'!$C$7:$C$1492,0),0)),0,OFFSET('HARGA SATUAN'!$I$6,MATCH(RAB!C40,'HARGA SATUAN'!$C$7:$C$1492,0),0))</f>
        <v>0</v>
      </c>
      <c r="H40" s="358">
        <f t="shared" ca="1" si="20"/>
        <v>0</v>
      </c>
      <c r="I40" s="358">
        <f t="shared" ca="1" si="21"/>
        <v>0</v>
      </c>
      <c r="J40" s="358">
        <f t="shared" ca="1" si="22"/>
        <v>0</v>
      </c>
      <c r="K40" s="359">
        <f t="shared" ca="1" si="23"/>
        <v>0</v>
      </c>
      <c r="L40" s="339"/>
      <c r="M40" s="339"/>
      <c r="N40" s="366"/>
      <c r="O40" s="341"/>
      <c r="P40" s="394"/>
      <c r="Q40" s="341"/>
    </row>
    <row r="41" spans="1:17" s="362" customFormat="1">
      <c r="A41" s="333"/>
      <c r="B41" s="531" t="s">
        <v>1035</v>
      </c>
      <c r="C41" s="517" t="s">
        <v>1644</v>
      </c>
      <c r="D41" s="355" t="str">
        <f ca="1">IF(ISERROR(OFFSET('HARGA SATUAN'!$D$6,MATCH(RAB!C41,'HARGA SATUAN'!$C$7:$C$1492,0),0)),"",OFFSET('HARGA SATUAN'!$D$6,MATCH(RAB!C41,'HARGA SATUAN'!$C$7:$C$1492,0),0))</f>
        <v/>
      </c>
      <c r="E41" s="356" t="str">
        <f ca="1">IF(B41="+","Unit",IF(ISERROR(OFFSET('HARGA SATUAN'!$E$6,MATCH(RAB!C41,'HARGA SATUAN'!$C$7:$C$1492,0),0)),"",OFFSET('HARGA SATUAN'!$E$6,MATCH(RAB!C41,'HARGA SATUAN'!$C$7:$C$1492,0),0)))</f>
        <v>Unit</v>
      </c>
      <c r="F41" s="518">
        <v>1</v>
      </c>
      <c r="G41" s="357">
        <f ca="1">IF(ISERROR(OFFSET('HARGA SATUAN'!$I$6,MATCH(RAB!C41,'HARGA SATUAN'!$C$7:$C$1492,0),0)),0,OFFSET('HARGA SATUAN'!$I$6,MATCH(RAB!C41,'HARGA SATUAN'!$C$7:$C$1492,0),0))</f>
        <v>0</v>
      </c>
      <c r="H41" s="358">
        <f t="shared" ref="H41:H69" ca="1" si="24">IF(OR(D41="MDU",D41="MDU-KD"),(IF($O$3="RAB NON MDU","PLN KD",G41*F41)),0)</f>
        <v>0</v>
      </c>
      <c r="I41" s="358">
        <f t="shared" ref="I41:I69" ca="1" si="25">IF(D41="HDW",G41*F41,0)</f>
        <v>0</v>
      </c>
      <c r="J41" s="358">
        <f t="shared" ref="J41:J69" ca="1" si="26">IF(D41="JASA",G41*F41,0)</f>
        <v>0</v>
      </c>
      <c r="K41" s="359">
        <f t="shared" ref="K41:K69" ca="1" si="27">SUM(H41:J41)</f>
        <v>0</v>
      </c>
      <c r="L41" s="339"/>
      <c r="M41" s="339"/>
      <c r="N41" s="366"/>
      <c r="O41" s="341"/>
      <c r="P41" s="394"/>
      <c r="Q41" s="341"/>
    </row>
    <row r="42" spans="1:17" s="362" customFormat="1">
      <c r="A42" s="333"/>
      <c r="B42" s="516">
        <v>1</v>
      </c>
      <c r="C42" s="109" t="s">
        <v>1559</v>
      </c>
      <c r="D42" s="355" t="str">
        <f ca="1">IF(ISERROR(OFFSET('HARGA SATUAN'!$D$6,MATCH(RAB!C42,'HARGA SATUAN'!$C$7:$C$1492,0),0)),"",OFFSET('HARGA SATUAN'!$D$6,MATCH(RAB!C42,'HARGA SATUAN'!$C$7:$C$1492,0),0))</f>
        <v>MDU-KD</v>
      </c>
      <c r="E42" s="356" t="str">
        <f ca="1">IF(B42="+","Unit",IF(ISERROR(OFFSET('HARGA SATUAN'!$E$6,MATCH(RAB!C42,'HARGA SATUAN'!$C$7:$C$1492,0),0)),"",OFFSET('HARGA SATUAN'!$E$6,MATCH(RAB!C42,'HARGA SATUAN'!$C$7:$C$1492,0),0)))</f>
        <v>Bh</v>
      </c>
      <c r="F42" s="518">
        <f>F41*1</f>
        <v>1</v>
      </c>
      <c r="G42" s="357">
        <f ca="1">IF(ISERROR(OFFSET('HARGA SATUAN'!$I$6,MATCH(RAB!C42,'HARGA SATUAN'!$C$7:$C$1492,0),0)),0,OFFSET('HARGA SATUAN'!$I$6,MATCH(RAB!C42,'HARGA SATUAN'!$C$7:$C$1492,0),0))</f>
        <v>235900</v>
      </c>
      <c r="H42" s="358">
        <f t="shared" ca="1" si="24"/>
        <v>235900</v>
      </c>
      <c r="I42" s="358">
        <f t="shared" ca="1" si="25"/>
        <v>0</v>
      </c>
      <c r="J42" s="358">
        <f t="shared" ca="1" si="26"/>
        <v>0</v>
      </c>
      <c r="K42" s="359">
        <f t="shared" ca="1" si="27"/>
        <v>235900</v>
      </c>
      <c r="L42" s="339"/>
      <c r="M42" s="339"/>
      <c r="N42" s="366"/>
      <c r="O42" s="341"/>
      <c r="P42" s="394"/>
      <c r="Q42" s="341"/>
    </row>
    <row r="43" spans="1:17" s="362" customFormat="1">
      <c r="A43" s="333"/>
      <c r="B43" s="516">
        <v>2</v>
      </c>
      <c r="C43" s="109" t="s">
        <v>1559</v>
      </c>
      <c r="D43" s="355" t="str">
        <f ca="1">IF(ISERROR(OFFSET('HARGA SATUAN'!$D$6,MATCH(RAB!C43,'HARGA SATUAN'!$C$7:$C$1492,0),0)),"",OFFSET('HARGA SATUAN'!$D$6,MATCH(RAB!C43,'HARGA SATUAN'!$C$7:$C$1492,0),0))</f>
        <v>MDU-KD</v>
      </c>
      <c r="E43" s="356" t="str">
        <f ca="1">IF(B43="+","Unit",IF(ISERROR(OFFSET('HARGA SATUAN'!$E$6,MATCH(RAB!C43,'HARGA SATUAN'!$C$7:$C$1492,0),0)),"",OFFSET('HARGA SATUAN'!$E$6,MATCH(RAB!C43,'HARGA SATUAN'!$C$7:$C$1492,0),0)))</f>
        <v>Bh</v>
      </c>
      <c r="F43" s="518">
        <f>F41*2</f>
        <v>2</v>
      </c>
      <c r="G43" s="357">
        <f ca="1">IF(ISERROR(OFFSET('HARGA SATUAN'!$I$6,MATCH(RAB!C43,'HARGA SATUAN'!$C$7:$C$1492,0),0)),0,OFFSET('HARGA SATUAN'!$I$6,MATCH(RAB!C43,'HARGA SATUAN'!$C$7:$C$1492,0),0))</f>
        <v>235900</v>
      </c>
      <c r="H43" s="358">
        <f t="shared" ca="1" si="24"/>
        <v>471800</v>
      </c>
      <c r="I43" s="358">
        <f t="shared" ca="1" si="25"/>
        <v>0</v>
      </c>
      <c r="J43" s="358">
        <f t="shared" ca="1" si="26"/>
        <v>0</v>
      </c>
      <c r="K43" s="359">
        <f t="shared" ca="1" si="27"/>
        <v>471800</v>
      </c>
      <c r="L43" s="339"/>
      <c r="M43" s="339"/>
      <c r="N43" s="366"/>
      <c r="O43" s="341"/>
      <c r="P43" s="394"/>
      <c r="Q43" s="341"/>
    </row>
    <row r="44" spans="1:17" s="362" customFormat="1">
      <c r="A44" s="333"/>
      <c r="B44" s="516">
        <v>3</v>
      </c>
      <c r="C44" s="517" t="s">
        <v>163</v>
      </c>
      <c r="D44" s="355" t="str">
        <f ca="1">IF(ISERROR(OFFSET('HARGA SATUAN'!$D$6,MATCH(RAB!C44,'HARGA SATUAN'!$C$7:$C$1492,0),0)),"",OFFSET('HARGA SATUAN'!$D$6,MATCH(RAB!C44,'HARGA SATUAN'!$C$7:$C$1492,0),0))</f>
        <v>HDW</v>
      </c>
      <c r="E44" s="356" t="str">
        <f ca="1">IF(B44="+","Unit",IF(ISERROR(OFFSET('HARGA SATUAN'!$E$6,MATCH(RAB!C44,'HARGA SATUAN'!$C$7:$C$1492,0),0)),"",OFFSET('HARGA SATUAN'!$E$6,MATCH(RAB!C44,'HARGA SATUAN'!$C$7:$C$1492,0),0)))</f>
        <v>Bh</v>
      </c>
      <c r="F44" s="518">
        <f>F41*1</f>
        <v>1</v>
      </c>
      <c r="G44" s="357">
        <f ca="1">IF(ISERROR(OFFSET('HARGA SATUAN'!$I$6,MATCH(RAB!C44,'HARGA SATUAN'!$C$7:$C$1492,0),0)),0,OFFSET('HARGA SATUAN'!$I$6,MATCH(RAB!C44,'HARGA SATUAN'!$C$7:$C$1492,0),0))</f>
        <v>7938</v>
      </c>
      <c r="H44" s="358">
        <f t="shared" ca="1" si="24"/>
        <v>0</v>
      </c>
      <c r="I44" s="358">
        <f t="shared" ca="1" si="25"/>
        <v>7938</v>
      </c>
      <c r="J44" s="358">
        <f t="shared" ca="1" si="26"/>
        <v>0</v>
      </c>
      <c r="K44" s="359">
        <f t="shared" ca="1" si="27"/>
        <v>7938</v>
      </c>
      <c r="L44" s="339"/>
      <c r="M44" s="339"/>
      <c r="N44" s="366"/>
      <c r="O44" s="341"/>
      <c r="P44" s="394"/>
      <c r="Q44" s="341"/>
    </row>
    <row r="45" spans="1:17" s="362" customFormat="1">
      <c r="A45" s="333"/>
      <c r="B45" s="516">
        <v>4</v>
      </c>
      <c r="C45" s="517" t="s">
        <v>28</v>
      </c>
      <c r="D45" s="355" t="str">
        <f ca="1">IF(ISERROR(OFFSET('HARGA SATUAN'!$D$6,MATCH(RAB!C45,'HARGA SATUAN'!$C$7:$C$1492,0),0)),"",OFFSET('HARGA SATUAN'!$D$6,MATCH(RAB!C45,'HARGA SATUAN'!$C$7:$C$1492,0),0))</f>
        <v>HDW</v>
      </c>
      <c r="E45" s="356" t="str">
        <f ca="1">IF(B45="+","Unit",IF(ISERROR(OFFSET('HARGA SATUAN'!$E$6,MATCH(RAB!C45,'HARGA SATUAN'!$C$7:$C$1492,0),0)),"",OFFSET('HARGA SATUAN'!$E$6,MATCH(RAB!C45,'HARGA SATUAN'!$C$7:$C$1492,0),0)))</f>
        <v>Bh</v>
      </c>
      <c r="F45" s="518">
        <f>F41*3</f>
        <v>3</v>
      </c>
      <c r="G45" s="357">
        <f ca="1">IF(ISERROR(OFFSET('HARGA SATUAN'!$I$6,MATCH(RAB!C45,'HARGA SATUAN'!$C$7:$C$1492,0),0)),0,OFFSET('HARGA SATUAN'!$I$6,MATCH(RAB!C45,'HARGA SATUAN'!$C$7:$C$1492,0),0))</f>
        <v>26500</v>
      </c>
      <c r="H45" s="358">
        <f t="shared" ca="1" si="24"/>
        <v>0</v>
      </c>
      <c r="I45" s="358">
        <f t="shared" ca="1" si="25"/>
        <v>79500</v>
      </c>
      <c r="J45" s="358">
        <f t="shared" ca="1" si="26"/>
        <v>0</v>
      </c>
      <c r="K45" s="359">
        <f t="shared" ca="1" si="27"/>
        <v>79500</v>
      </c>
      <c r="L45" s="339"/>
      <c r="M45" s="339"/>
      <c r="N45" s="366"/>
      <c r="O45" s="341"/>
      <c r="P45" s="394"/>
      <c r="Q45" s="341"/>
    </row>
    <row r="46" spans="1:17" s="362" customFormat="1">
      <c r="A46" s="333"/>
      <c r="B46" s="516">
        <v>5</v>
      </c>
      <c r="C46" s="517" t="s">
        <v>175</v>
      </c>
      <c r="D46" s="355" t="str">
        <f ca="1">IF(ISERROR(OFFSET('HARGA SATUAN'!$D$6,MATCH(RAB!C46,'HARGA SATUAN'!$C$7:$C$1492,0),0)),"",OFFSET('HARGA SATUAN'!$D$6,MATCH(RAB!C46,'HARGA SATUAN'!$C$7:$C$1492,0),0))</f>
        <v>HDW</v>
      </c>
      <c r="E46" s="356" t="str">
        <f ca="1">IF(B46="+","Unit",IF(ISERROR(OFFSET('HARGA SATUAN'!$E$6,MATCH(RAB!C46,'HARGA SATUAN'!$C$7:$C$1492,0),0)),"",OFFSET('HARGA SATUAN'!$E$6,MATCH(RAB!C46,'HARGA SATUAN'!$C$7:$C$1492,0),0)))</f>
        <v>Bh</v>
      </c>
      <c r="F46" s="518">
        <f>F41*1</f>
        <v>1</v>
      </c>
      <c r="G46" s="357">
        <f ca="1">IF(ISERROR(OFFSET('HARGA SATUAN'!$I$6,MATCH(RAB!C46,'HARGA SATUAN'!$C$7:$C$1492,0),0)),0,OFFSET('HARGA SATUAN'!$I$6,MATCH(RAB!C46,'HARGA SATUAN'!$C$7:$C$1492,0),0))</f>
        <v>13100</v>
      </c>
      <c r="H46" s="358">
        <f t="shared" ca="1" si="24"/>
        <v>0</v>
      </c>
      <c r="I46" s="358">
        <f t="shared" ca="1" si="25"/>
        <v>13100</v>
      </c>
      <c r="J46" s="358">
        <f t="shared" ca="1" si="26"/>
        <v>0</v>
      </c>
      <c r="K46" s="359">
        <f t="shared" ca="1" si="27"/>
        <v>13100</v>
      </c>
      <c r="L46" s="339"/>
      <c r="M46" s="339"/>
      <c r="N46" s="366"/>
      <c r="O46" s="341"/>
      <c r="P46" s="394"/>
      <c r="Q46" s="341"/>
    </row>
    <row r="47" spans="1:17" s="362" customFormat="1">
      <c r="A47" s="333"/>
      <c r="B47" s="516">
        <v>6</v>
      </c>
      <c r="C47" s="517" t="s">
        <v>178</v>
      </c>
      <c r="D47" s="355" t="str">
        <f ca="1">IF(ISERROR(OFFSET('HARGA SATUAN'!$D$6,MATCH(RAB!C47,'HARGA SATUAN'!$C$7:$C$1492,0),0)),"",OFFSET('HARGA SATUAN'!$D$6,MATCH(RAB!C47,'HARGA SATUAN'!$C$7:$C$1492,0),0))</f>
        <v>HDW</v>
      </c>
      <c r="E47" s="356" t="str">
        <f ca="1">IF(B47="+","Unit",IF(ISERROR(OFFSET('HARGA SATUAN'!$E$6,MATCH(RAB!C47,'HARGA SATUAN'!$C$7:$C$1492,0),0)),"",OFFSET('HARGA SATUAN'!$E$6,MATCH(RAB!C47,'HARGA SATUAN'!$C$7:$C$1492,0),0)))</f>
        <v>Bh</v>
      </c>
      <c r="F47" s="518">
        <f>F41*1</f>
        <v>1</v>
      </c>
      <c r="G47" s="357">
        <f ca="1">IF(ISERROR(OFFSET('HARGA SATUAN'!$I$6,MATCH(RAB!C47,'HARGA SATUAN'!$C$7:$C$1492,0),0)),0,OFFSET('HARGA SATUAN'!$I$6,MATCH(RAB!C47,'HARGA SATUAN'!$C$7:$C$1492,0),0))</f>
        <v>95000</v>
      </c>
      <c r="H47" s="358">
        <f t="shared" ca="1" si="24"/>
        <v>0</v>
      </c>
      <c r="I47" s="358">
        <f t="shared" ca="1" si="25"/>
        <v>95000</v>
      </c>
      <c r="J47" s="358">
        <f t="shared" ca="1" si="26"/>
        <v>0</v>
      </c>
      <c r="K47" s="359">
        <f t="shared" ca="1" si="27"/>
        <v>95000</v>
      </c>
      <c r="L47" s="339"/>
      <c r="M47" s="339"/>
      <c r="N47" s="366"/>
      <c r="O47" s="341"/>
      <c r="P47" s="394"/>
      <c r="Q47" s="341"/>
    </row>
    <row r="48" spans="1:17" s="362" customFormat="1">
      <c r="A48" s="333"/>
      <c r="B48" s="516">
        <v>7</v>
      </c>
      <c r="C48" s="517" t="s">
        <v>593</v>
      </c>
      <c r="D48" s="355" t="str">
        <f ca="1">IF(ISERROR(OFFSET('HARGA SATUAN'!$D$6,MATCH(RAB!C48,'HARGA SATUAN'!$C$7:$C$1492,0),0)),"",OFFSET('HARGA SATUAN'!$D$6,MATCH(RAB!C48,'HARGA SATUAN'!$C$7:$C$1492,0),0))</f>
        <v>HDW</v>
      </c>
      <c r="E48" s="356" t="str">
        <f ca="1">IF(B48="+","Unit",IF(ISERROR(OFFSET('HARGA SATUAN'!$E$6,MATCH(RAB!C48,'HARGA SATUAN'!$C$7:$C$1492,0),0)),"",OFFSET('HARGA SATUAN'!$E$6,MATCH(RAB!C48,'HARGA SATUAN'!$C$7:$C$1492,0),0)))</f>
        <v>Bh</v>
      </c>
      <c r="F48" s="518">
        <f>F41*1</f>
        <v>1</v>
      </c>
      <c r="G48" s="357">
        <f ca="1">IF(ISERROR(OFFSET('HARGA SATUAN'!$I$6,MATCH(RAB!C48,'HARGA SATUAN'!$C$7:$C$1492,0),0)),0,OFFSET('HARGA SATUAN'!$I$6,MATCH(RAB!C48,'HARGA SATUAN'!$C$7:$C$1492,0),0))</f>
        <v>380500</v>
      </c>
      <c r="H48" s="358">
        <f t="shared" ca="1" si="24"/>
        <v>0</v>
      </c>
      <c r="I48" s="358">
        <f t="shared" ca="1" si="25"/>
        <v>380500</v>
      </c>
      <c r="J48" s="358">
        <f t="shared" ca="1" si="26"/>
        <v>0</v>
      </c>
      <c r="K48" s="359">
        <f t="shared" ca="1" si="27"/>
        <v>380500</v>
      </c>
      <c r="L48" s="339"/>
      <c r="M48" s="339"/>
      <c r="N48" s="366"/>
      <c r="O48" s="341"/>
      <c r="P48" s="394"/>
      <c r="Q48" s="341"/>
    </row>
    <row r="49" spans="1:17" s="362" customFormat="1">
      <c r="A49" s="333"/>
      <c r="B49" s="516">
        <v>8</v>
      </c>
      <c r="C49" s="517" t="s">
        <v>217</v>
      </c>
      <c r="D49" s="355" t="str">
        <f ca="1">IF(ISERROR(OFFSET('HARGA SATUAN'!$D$6,MATCH(RAB!C49,'HARGA SATUAN'!$C$7:$C$1492,0),0)),"",OFFSET('HARGA SATUAN'!$D$6,MATCH(RAB!C49,'HARGA SATUAN'!$C$7:$C$1492,0),0))</f>
        <v>HDW</v>
      </c>
      <c r="E49" s="356" t="str">
        <f ca="1">IF(B49="+","Unit",IF(ISERROR(OFFSET('HARGA SATUAN'!$E$6,MATCH(RAB!C49,'HARGA SATUAN'!$C$7:$C$1492,0),0)),"",OFFSET('HARGA SATUAN'!$E$6,MATCH(RAB!C49,'HARGA SATUAN'!$C$7:$C$1492,0),0)))</f>
        <v>Bh</v>
      </c>
      <c r="F49" s="518">
        <f>F41*3</f>
        <v>3</v>
      </c>
      <c r="G49" s="357">
        <f ca="1">IF(ISERROR(OFFSET('HARGA SATUAN'!$I$6,MATCH(RAB!C49,'HARGA SATUAN'!$C$7:$C$1492,0),0)),0,OFFSET('HARGA SATUAN'!$I$6,MATCH(RAB!C49,'HARGA SATUAN'!$C$7:$C$1492,0),0))</f>
        <v>11400</v>
      </c>
      <c r="H49" s="358">
        <f t="shared" ca="1" si="24"/>
        <v>0</v>
      </c>
      <c r="I49" s="358">
        <f t="shared" ca="1" si="25"/>
        <v>34200</v>
      </c>
      <c r="J49" s="358">
        <f t="shared" ca="1" si="26"/>
        <v>0</v>
      </c>
      <c r="K49" s="359">
        <f t="shared" ca="1" si="27"/>
        <v>34200</v>
      </c>
      <c r="L49" s="339"/>
      <c r="M49" s="339"/>
      <c r="N49" s="366"/>
      <c r="O49" s="341"/>
      <c r="P49" s="394"/>
      <c r="Q49" s="341"/>
    </row>
    <row r="50" spans="1:17" s="362" customFormat="1">
      <c r="A50" s="333"/>
      <c r="B50" s="516">
        <v>9</v>
      </c>
      <c r="C50" s="517" t="s">
        <v>247</v>
      </c>
      <c r="D50" s="355" t="str">
        <f ca="1">IF(ISERROR(OFFSET('HARGA SATUAN'!$D$6,MATCH(RAB!C50,'HARGA SATUAN'!$C$7:$C$1492,0),0)),"",OFFSET('HARGA SATUAN'!$D$6,MATCH(RAB!C50,'HARGA SATUAN'!$C$7:$C$1492,0),0))</f>
        <v>HDW</v>
      </c>
      <c r="E50" s="356" t="str">
        <f ca="1">IF(B50="+","Unit",IF(ISERROR(OFFSET('HARGA SATUAN'!$E$6,MATCH(RAB!C50,'HARGA SATUAN'!$C$7:$C$1492,0),0)),"",OFFSET('HARGA SATUAN'!$E$6,MATCH(RAB!C50,'HARGA SATUAN'!$C$7:$C$1492,0),0)))</f>
        <v>Bh</v>
      </c>
      <c r="F50" s="518">
        <f>F41*2</f>
        <v>2</v>
      </c>
      <c r="G50" s="357">
        <f ca="1">IF(ISERROR(OFFSET('HARGA SATUAN'!$I$6,MATCH(RAB!C50,'HARGA SATUAN'!$C$7:$C$1492,0),0)),0,OFFSET('HARGA SATUAN'!$I$6,MATCH(RAB!C50,'HARGA SATUAN'!$C$7:$C$1492,0),0))</f>
        <v>57690</v>
      </c>
      <c r="H50" s="358">
        <f t="shared" ca="1" si="24"/>
        <v>0</v>
      </c>
      <c r="I50" s="358">
        <f t="shared" ca="1" si="25"/>
        <v>115380</v>
      </c>
      <c r="J50" s="358">
        <f t="shared" ca="1" si="26"/>
        <v>0</v>
      </c>
      <c r="K50" s="359">
        <f t="shared" ca="1" si="27"/>
        <v>115380</v>
      </c>
      <c r="L50" s="339"/>
      <c r="M50" s="339"/>
      <c r="N50" s="366"/>
      <c r="O50" s="341"/>
      <c r="P50" s="394"/>
      <c r="Q50" s="341"/>
    </row>
    <row r="51" spans="1:17" s="362" customFormat="1">
      <c r="A51" s="333"/>
      <c r="B51" s="516">
        <v>10</v>
      </c>
      <c r="C51" s="517" t="s">
        <v>264</v>
      </c>
      <c r="D51" s="355" t="str">
        <f ca="1">IF(ISERROR(OFFSET('HARGA SATUAN'!$D$6,MATCH(RAB!C51,'HARGA SATUAN'!$C$7:$C$1492,0),0)),"",OFFSET('HARGA SATUAN'!$D$6,MATCH(RAB!C51,'HARGA SATUAN'!$C$7:$C$1492,0),0))</f>
        <v>HDW</v>
      </c>
      <c r="E51" s="356" t="str">
        <f ca="1">IF(B51="+","Unit",IF(ISERROR(OFFSET('HARGA SATUAN'!$E$6,MATCH(RAB!C51,'HARGA SATUAN'!$C$7:$C$1492,0),0)),"",OFFSET('HARGA SATUAN'!$E$6,MATCH(RAB!C51,'HARGA SATUAN'!$C$7:$C$1492,0),0)))</f>
        <v>Bh</v>
      </c>
      <c r="F51" s="518">
        <f>F41*1</f>
        <v>1</v>
      </c>
      <c r="G51" s="357">
        <f ca="1">IF(ISERROR(OFFSET('HARGA SATUAN'!$I$6,MATCH(RAB!C51,'HARGA SATUAN'!$C$7:$C$1492,0),0)),0,OFFSET('HARGA SATUAN'!$I$6,MATCH(RAB!C51,'HARGA SATUAN'!$C$7:$C$1492,0),0))</f>
        <v>28000</v>
      </c>
      <c r="H51" s="358">
        <f t="shared" ca="1" si="24"/>
        <v>0</v>
      </c>
      <c r="I51" s="358">
        <f t="shared" ca="1" si="25"/>
        <v>28000</v>
      </c>
      <c r="J51" s="358">
        <f t="shared" ca="1" si="26"/>
        <v>0</v>
      </c>
      <c r="K51" s="359">
        <f t="shared" ca="1" si="27"/>
        <v>28000</v>
      </c>
      <c r="L51" s="339"/>
      <c r="M51" s="339"/>
      <c r="N51" s="366"/>
      <c r="O51" s="341"/>
      <c r="P51" s="394"/>
      <c r="Q51" s="341"/>
    </row>
    <row r="52" spans="1:17" s="362" customFormat="1">
      <c r="A52" s="333"/>
      <c r="B52" s="516">
        <v>11</v>
      </c>
      <c r="C52" s="517" t="s">
        <v>607</v>
      </c>
      <c r="D52" s="355" t="str">
        <f ca="1">IF(ISERROR(OFFSET('HARGA SATUAN'!$D$6,MATCH(RAB!C52,'HARGA SATUAN'!$C$7:$C$1492,0),0)),"",OFFSET('HARGA SATUAN'!$D$6,MATCH(RAB!C52,'HARGA SATUAN'!$C$7:$C$1492,0),0))</f>
        <v>HDW</v>
      </c>
      <c r="E52" s="356" t="str">
        <f ca="1">IF(B52="+","Unit",IF(ISERROR(OFFSET('HARGA SATUAN'!$E$6,MATCH(RAB!C52,'HARGA SATUAN'!$C$7:$C$1492,0),0)),"",OFFSET('HARGA SATUAN'!$E$6,MATCH(RAB!C52,'HARGA SATUAN'!$C$7:$C$1492,0),0)))</f>
        <v>Bh</v>
      </c>
      <c r="F52" s="518">
        <f>F41*1</f>
        <v>1</v>
      </c>
      <c r="G52" s="357">
        <f ca="1">IF(ISERROR(OFFSET('HARGA SATUAN'!$I$6,MATCH(RAB!C52,'HARGA SATUAN'!$C$7:$C$1492,0),0)),0,OFFSET('HARGA SATUAN'!$I$6,MATCH(RAB!C52,'HARGA SATUAN'!$C$7:$C$1492,0),0))</f>
        <v>250000</v>
      </c>
      <c r="H52" s="358">
        <f t="shared" ca="1" si="24"/>
        <v>0</v>
      </c>
      <c r="I52" s="358">
        <f t="shared" ca="1" si="25"/>
        <v>250000</v>
      </c>
      <c r="J52" s="358">
        <f t="shared" ca="1" si="26"/>
        <v>0</v>
      </c>
      <c r="K52" s="359">
        <f t="shared" ca="1" si="27"/>
        <v>250000</v>
      </c>
      <c r="L52" s="339"/>
      <c r="M52" s="339"/>
      <c r="N52" s="366"/>
      <c r="O52" s="341"/>
      <c r="P52" s="394"/>
      <c r="Q52" s="341"/>
    </row>
    <row r="53" spans="1:17" s="362" customFormat="1">
      <c r="A53" s="333"/>
      <c r="B53" s="516">
        <v>12</v>
      </c>
      <c r="C53" s="517" t="s">
        <v>38</v>
      </c>
      <c r="D53" s="355" t="str">
        <f ca="1">IF(ISERROR(OFFSET('HARGA SATUAN'!$D$6,MATCH(RAB!C53,'HARGA SATUAN'!$C$7:$C$1492,0),0)),"",OFFSET('HARGA SATUAN'!$D$6,MATCH(RAB!C53,'HARGA SATUAN'!$C$7:$C$1492,0),0))</f>
        <v>HDW</v>
      </c>
      <c r="E53" s="356" t="str">
        <f ca="1">IF(B53="+","Unit",IF(ISERROR(OFFSET('HARGA SATUAN'!$E$6,MATCH(RAB!C53,'HARGA SATUAN'!$C$7:$C$1492,0),0)),"",OFFSET('HARGA SATUAN'!$E$6,MATCH(RAB!C53,'HARGA SATUAN'!$C$7:$C$1492,0),0)))</f>
        <v>Mtr</v>
      </c>
      <c r="F53" s="518">
        <f>6.2*F41</f>
        <v>6.2</v>
      </c>
      <c r="G53" s="357">
        <f ca="1">IF(ISERROR(OFFSET('HARGA SATUAN'!$I$6,MATCH(RAB!C53,'HARGA SATUAN'!$C$7:$C$1492,0),0)),0,OFFSET('HARGA SATUAN'!$I$6,MATCH(RAB!C53,'HARGA SATUAN'!$C$7:$C$1492,0),0))</f>
        <v>8550</v>
      </c>
      <c r="H53" s="358">
        <f t="shared" ca="1" si="24"/>
        <v>0</v>
      </c>
      <c r="I53" s="358">
        <f t="shared" ca="1" si="25"/>
        <v>53010</v>
      </c>
      <c r="J53" s="358">
        <f t="shared" ca="1" si="26"/>
        <v>0</v>
      </c>
      <c r="K53" s="359">
        <f t="shared" ca="1" si="27"/>
        <v>53010</v>
      </c>
      <c r="L53" s="339"/>
      <c r="M53" s="339"/>
      <c r="N53" s="366"/>
      <c r="O53" s="341"/>
      <c r="P53" s="394"/>
      <c r="Q53" s="341"/>
    </row>
    <row r="54" spans="1:17" s="362" customFormat="1">
      <c r="A54" s="333"/>
      <c r="B54" s="516">
        <v>13</v>
      </c>
      <c r="C54" s="517" t="s">
        <v>26</v>
      </c>
      <c r="D54" s="355" t="str">
        <f ca="1">IF(ISERROR(OFFSET('HARGA SATUAN'!$D$6,MATCH(RAB!C54,'HARGA SATUAN'!$C$7:$C$1492,0),0)),"",OFFSET('HARGA SATUAN'!$D$6,MATCH(RAB!C54,'HARGA SATUAN'!$C$7:$C$1492,0),0))</f>
        <v>HDW</v>
      </c>
      <c r="E54" s="356" t="str">
        <f ca="1">IF(B54="+","Unit",IF(ISERROR(OFFSET('HARGA SATUAN'!$E$6,MATCH(RAB!C54,'HARGA SATUAN'!$C$7:$C$1492,0),0)),"",OFFSET('HARGA SATUAN'!$E$6,MATCH(RAB!C54,'HARGA SATUAN'!$C$7:$C$1492,0),0)))</f>
        <v>Bh</v>
      </c>
      <c r="F54" s="518">
        <f>F41*4</f>
        <v>4</v>
      </c>
      <c r="G54" s="357">
        <f ca="1">IF(ISERROR(OFFSET('HARGA SATUAN'!$I$6,MATCH(RAB!C54,'HARGA SATUAN'!$C$7:$C$1492,0),0)),0,OFFSET('HARGA SATUAN'!$I$6,MATCH(RAB!C54,'HARGA SATUAN'!$C$7:$C$1492,0),0))</f>
        <v>2500</v>
      </c>
      <c r="H54" s="358">
        <f t="shared" ca="1" si="24"/>
        <v>0</v>
      </c>
      <c r="I54" s="358">
        <f t="shared" ca="1" si="25"/>
        <v>10000</v>
      </c>
      <c r="J54" s="358">
        <f t="shared" ca="1" si="26"/>
        <v>0</v>
      </c>
      <c r="K54" s="359">
        <f t="shared" ca="1" si="27"/>
        <v>10000</v>
      </c>
      <c r="L54" s="339"/>
      <c r="M54" s="339"/>
      <c r="N54" s="366"/>
      <c r="O54" s="341"/>
      <c r="P54" s="394"/>
      <c r="Q54" s="341"/>
    </row>
    <row r="55" spans="1:17" s="362" customFormat="1">
      <c r="A55" s="333"/>
      <c r="B55" s="516">
        <v>14</v>
      </c>
      <c r="C55" s="532" t="s">
        <v>713</v>
      </c>
      <c r="D55" s="355" t="str">
        <f ca="1">IF(ISERROR(OFFSET('HARGA SATUAN'!$D$6,MATCH(RAB!C55,'HARGA SATUAN'!$C$7:$C$1492,0),0)),"",OFFSET('HARGA SATUAN'!$D$6,MATCH(RAB!C55,'HARGA SATUAN'!$C$7:$C$1492,0),0))</f>
        <v>JASA</v>
      </c>
      <c r="E55" s="356" t="str">
        <f ca="1">IF(B55="+","Unit",IF(ISERROR(OFFSET('HARGA SATUAN'!$E$6,MATCH(RAB!C55,'HARGA SATUAN'!$C$7:$C$1492,0),0)),"",OFFSET('HARGA SATUAN'!$E$6,MATCH(RAB!C55,'HARGA SATUAN'!$C$7:$C$1492,0),0)))</f>
        <v>Unit</v>
      </c>
      <c r="F55" s="518">
        <f>F41*1</f>
        <v>1</v>
      </c>
      <c r="G55" s="357">
        <f ca="1">IF(ISERROR(OFFSET('HARGA SATUAN'!$I$6,MATCH(RAB!C55,'HARGA SATUAN'!$C$7:$C$1492,0),0)),0,OFFSET('HARGA SATUAN'!$I$6,MATCH(RAB!C55,'HARGA SATUAN'!$C$7:$C$1492,0),0))</f>
        <v>111200</v>
      </c>
      <c r="H55" s="358">
        <f t="shared" ca="1" si="24"/>
        <v>0</v>
      </c>
      <c r="I55" s="358">
        <f t="shared" ca="1" si="25"/>
        <v>0</v>
      </c>
      <c r="J55" s="358">
        <f t="shared" ca="1" si="26"/>
        <v>111200</v>
      </c>
      <c r="K55" s="359">
        <f t="shared" ca="1" si="27"/>
        <v>111200</v>
      </c>
      <c r="L55" s="339"/>
      <c r="M55" s="339"/>
      <c r="N55" s="366"/>
      <c r="O55" s="341"/>
      <c r="P55" s="394"/>
      <c r="Q55" s="341"/>
    </row>
    <row r="56" spans="1:17" s="362" customFormat="1">
      <c r="A56" s="333"/>
      <c r="B56" s="516"/>
      <c r="C56" s="532"/>
      <c r="D56" s="355"/>
      <c r="E56" s="356"/>
      <c r="F56" s="518"/>
      <c r="G56" s="357"/>
      <c r="H56" s="358"/>
      <c r="I56" s="358"/>
      <c r="J56" s="358"/>
      <c r="K56" s="359"/>
      <c r="L56" s="339"/>
      <c r="M56" s="339"/>
      <c r="N56" s="366"/>
      <c r="O56" s="341"/>
      <c r="P56" s="394"/>
      <c r="Q56" s="341"/>
    </row>
    <row r="57" spans="1:17" s="362" customFormat="1">
      <c r="A57" s="333"/>
      <c r="B57" s="531" t="s">
        <v>1035</v>
      </c>
      <c r="C57" s="532" t="s">
        <v>1639</v>
      </c>
      <c r="D57" s="355" t="str">
        <f ca="1">IF(ISERROR(OFFSET('HARGA SATUAN'!$D$6,MATCH(RAB!C57,'HARGA SATUAN'!$C$7:$C$1492,0),0)),"",OFFSET('HARGA SATUAN'!$D$6,MATCH(RAB!C57,'HARGA SATUAN'!$C$7:$C$1492,0),0))</f>
        <v/>
      </c>
      <c r="E57" s="356" t="str">
        <f ca="1">IF(B57="+","Unit",IF(ISERROR(OFFSET('HARGA SATUAN'!$E$6,MATCH(RAB!C57,'HARGA SATUAN'!$C$7:$C$1492,0),0)),"",OFFSET('HARGA SATUAN'!$E$6,MATCH(RAB!C57,'HARGA SATUAN'!$C$7:$C$1492,0),0)))</f>
        <v>Unit</v>
      </c>
      <c r="F57" s="494">
        <v>1</v>
      </c>
      <c r="G57" s="357">
        <f ca="1">IF(ISERROR(OFFSET('HARGA SATUAN'!$I$6,MATCH(RAB!C57,'HARGA SATUAN'!$C$7:$C$1492,0),0)),0,OFFSET('HARGA SATUAN'!$I$6,MATCH(RAB!C57,'HARGA SATUAN'!$C$7:$C$1492,0),0))</f>
        <v>0</v>
      </c>
      <c r="H57" s="358">
        <f t="shared" ca="1" si="24"/>
        <v>0</v>
      </c>
      <c r="I57" s="358">
        <f t="shared" ca="1" si="25"/>
        <v>0</v>
      </c>
      <c r="J57" s="358">
        <f t="shared" ca="1" si="26"/>
        <v>0</v>
      </c>
      <c r="K57" s="359">
        <f t="shared" ca="1" si="27"/>
        <v>0</v>
      </c>
      <c r="L57" s="339"/>
      <c r="M57" s="339"/>
      <c r="N57" s="366"/>
      <c r="O57" s="341"/>
      <c r="P57" s="394"/>
      <c r="Q57" s="341"/>
    </row>
    <row r="58" spans="1:17" s="362" customFormat="1">
      <c r="A58" s="333"/>
      <c r="B58" s="531">
        <v>1</v>
      </c>
      <c r="C58" s="109" t="s">
        <v>1559</v>
      </c>
      <c r="D58" s="355" t="str">
        <f ca="1">IF(ISERROR(OFFSET('HARGA SATUAN'!$D$6,MATCH(RAB!C58,'HARGA SATUAN'!$C$7:$C$1492,0),0)),"",OFFSET('HARGA SATUAN'!$D$6,MATCH(RAB!C58,'HARGA SATUAN'!$C$7:$C$1492,0),0))</f>
        <v>MDU-KD</v>
      </c>
      <c r="E58" s="356" t="str">
        <f ca="1">IF(B58="+","Unit",IF(ISERROR(OFFSET('HARGA SATUAN'!$E$6,MATCH(RAB!C58,'HARGA SATUAN'!$C$7:$C$1492,0),0)),"",OFFSET('HARGA SATUAN'!$E$6,MATCH(RAB!C58,'HARGA SATUAN'!$C$7:$C$1492,0),0)))</f>
        <v>Bh</v>
      </c>
      <c r="F58" s="494">
        <f>F57*3</f>
        <v>3</v>
      </c>
      <c r="G58" s="357">
        <f ca="1">IF(ISERROR(OFFSET('HARGA SATUAN'!$I$6,MATCH(RAB!C58,'HARGA SATUAN'!$C$7:$C$1492,0),0)),0,OFFSET('HARGA SATUAN'!$I$6,MATCH(RAB!C58,'HARGA SATUAN'!$C$7:$C$1492,0),0))</f>
        <v>235900</v>
      </c>
      <c r="H58" s="358">
        <f t="shared" ca="1" si="24"/>
        <v>707700</v>
      </c>
      <c r="I58" s="358">
        <f t="shared" ca="1" si="25"/>
        <v>0</v>
      </c>
      <c r="J58" s="358">
        <f t="shared" ca="1" si="26"/>
        <v>0</v>
      </c>
      <c r="K58" s="359">
        <f t="shared" ca="1" si="27"/>
        <v>707700</v>
      </c>
      <c r="L58" s="339"/>
      <c r="M58" s="339"/>
      <c r="N58" s="366"/>
      <c r="O58" s="341"/>
      <c r="P58" s="394"/>
      <c r="Q58" s="341"/>
    </row>
    <row r="59" spans="1:17" s="362" customFormat="1">
      <c r="A59" s="333"/>
      <c r="B59" s="531">
        <v>2</v>
      </c>
      <c r="C59" s="532" t="s">
        <v>28</v>
      </c>
      <c r="D59" s="355" t="str">
        <f ca="1">IF(ISERROR(OFFSET('HARGA SATUAN'!$D$6,MATCH(RAB!C59,'HARGA SATUAN'!$C$7:$C$1492,0),0)),"",OFFSET('HARGA SATUAN'!$D$6,MATCH(RAB!C59,'HARGA SATUAN'!$C$7:$C$1492,0),0))</f>
        <v>HDW</v>
      </c>
      <c r="E59" s="356" t="str">
        <f ca="1">IF(B59="+","Unit",IF(ISERROR(OFFSET('HARGA SATUAN'!$E$6,MATCH(RAB!C59,'HARGA SATUAN'!$C$7:$C$1492,0),0)),"",OFFSET('HARGA SATUAN'!$E$6,MATCH(RAB!C59,'HARGA SATUAN'!$C$7:$C$1492,0),0)))</f>
        <v>Bh</v>
      </c>
      <c r="F59" s="494">
        <f>F57*1</f>
        <v>1</v>
      </c>
      <c r="G59" s="357">
        <f ca="1">IF(ISERROR(OFFSET('HARGA SATUAN'!$I$6,MATCH(RAB!C59,'HARGA SATUAN'!$C$7:$C$1492,0),0)),0,OFFSET('HARGA SATUAN'!$I$6,MATCH(RAB!C59,'HARGA SATUAN'!$C$7:$C$1492,0),0))</f>
        <v>26500</v>
      </c>
      <c r="H59" s="358">
        <f t="shared" ca="1" si="24"/>
        <v>0</v>
      </c>
      <c r="I59" s="358">
        <f t="shared" ca="1" si="25"/>
        <v>26500</v>
      </c>
      <c r="J59" s="358">
        <f t="shared" ca="1" si="26"/>
        <v>0</v>
      </c>
      <c r="K59" s="359">
        <f t="shared" ca="1" si="27"/>
        <v>26500</v>
      </c>
      <c r="L59" s="339"/>
      <c r="M59" s="339"/>
      <c r="N59" s="366"/>
      <c r="O59" s="341"/>
      <c r="P59" s="394"/>
      <c r="Q59" s="341"/>
    </row>
    <row r="60" spans="1:17" s="362" customFormat="1">
      <c r="A60" s="333"/>
      <c r="B60" s="531">
        <v>3</v>
      </c>
      <c r="C60" s="532" t="s">
        <v>163</v>
      </c>
      <c r="D60" s="355" t="str">
        <f ca="1">IF(ISERROR(OFFSET('HARGA SATUAN'!$D$6,MATCH(RAB!C60,'HARGA SATUAN'!$C$7:$C$1492,0),0)),"",OFFSET('HARGA SATUAN'!$D$6,MATCH(RAB!C60,'HARGA SATUAN'!$C$7:$C$1492,0),0))</f>
        <v>HDW</v>
      </c>
      <c r="E60" s="356" t="str">
        <f ca="1">IF(B60="+","Unit",IF(ISERROR(OFFSET('HARGA SATUAN'!$E$6,MATCH(RAB!C60,'HARGA SATUAN'!$C$7:$C$1492,0),0)),"",OFFSET('HARGA SATUAN'!$E$6,MATCH(RAB!C60,'HARGA SATUAN'!$C$7:$C$1492,0),0)))</f>
        <v>Bh</v>
      </c>
      <c r="F60" s="494">
        <f>F57*2</f>
        <v>2</v>
      </c>
      <c r="G60" s="357">
        <f ca="1">IF(ISERROR(OFFSET('HARGA SATUAN'!$I$6,MATCH(RAB!C60,'HARGA SATUAN'!$C$7:$C$1492,0),0)),0,OFFSET('HARGA SATUAN'!$I$6,MATCH(RAB!C60,'HARGA SATUAN'!$C$7:$C$1492,0),0))</f>
        <v>7938</v>
      </c>
      <c r="H60" s="358">
        <f t="shared" ca="1" si="24"/>
        <v>0</v>
      </c>
      <c r="I60" s="358">
        <f t="shared" ca="1" si="25"/>
        <v>15876</v>
      </c>
      <c r="J60" s="358">
        <f t="shared" ca="1" si="26"/>
        <v>0</v>
      </c>
      <c r="K60" s="359">
        <f t="shared" ca="1" si="27"/>
        <v>15876</v>
      </c>
      <c r="L60" s="339"/>
      <c r="M60" s="339"/>
      <c r="N60" s="366"/>
      <c r="O60" s="341"/>
      <c r="P60" s="394"/>
      <c r="Q60" s="341"/>
    </row>
    <row r="61" spans="1:17" s="362" customFormat="1">
      <c r="A61" s="333"/>
      <c r="B61" s="531">
        <v>4</v>
      </c>
      <c r="C61" s="532" t="s">
        <v>173</v>
      </c>
      <c r="D61" s="355" t="str">
        <f ca="1">IF(ISERROR(OFFSET('HARGA SATUAN'!$D$6,MATCH(RAB!C61,'HARGA SATUAN'!$C$7:$C$1492,0),0)),"",OFFSET('HARGA SATUAN'!$D$6,MATCH(RAB!C61,'HARGA SATUAN'!$C$7:$C$1492,0),0))</f>
        <v>HDW</v>
      </c>
      <c r="E61" s="356" t="str">
        <f ca="1">IF(B61="+","Unit",IF(ISERROR(OFFSET('HARGA SATUAN'!$E$6,MATCH(RAB!C61,'HARGA SATUAN'!$C$7:$C$1492,0),0)),"",OFFSET('HARGA SATUAN'!$E$6,MATCH(RAB!C61,'HARGA SATUAN'!$C$7:$C$1492,0),0)))</f>
        <v>Bh</v>
      </c>
      <c r="F61" s="494">
        <f>F57*2</f>
        <v>2</v>
      </c>
      <c r="G61" s="357">
        <f ca="1">IF(ISERROR(OFFSET('HARGA SATUAN'!$I$6,MATCH(RAB!C61,'HARGA SATUAN'!$C$7:$C$1492,0),0)),0,OFFSET('HARGA SATUAN'!$I$6,MATCH(RAB!C61,'HARGA SATUAN'!$C$7:$C$1492,0),0))</f>
        <v>45000</v>
      </c>
      <c r="H61" s="358">
        <f t="shared" ca="1" si="24"/>
        <v>0</v>
      </c>
      <c r="I61" s="358">
        <f t="shared" ca="1" si="25"/>
        <v>90000</v>
      </c>
      <c r="J61" s="358">
        <f t="shared" ca="1" si="26"/>
        <v>0</v>
      </c>
      <c r="K61" s="359">
        <f t="shared" ca="1" si="27"/>
        <v>90000</v>
      </c>
      <c r="L61" s="339"/>
      <c r="M61" s="339"/>
      <c r="N61" s="366"/>
      <c r="O61" s="341"/>
      <c r="P61" s="394"/>
      <c r="Q61" s="341"/>
    </row>
    <row r="62" spans="1:17" s="362" customFormat="1">
      <c r="A62" s="333"/>
      <c r="B62" s="531">
        <v>5</v>
      </c>
      <c r="C62" s="532" t="s">
        <v>593</v>
      </c>
      <c r="D62" s="355" t="str">
        <f ca="1">IF(ISERROR(OFFSET('HARGA SATUAN'!$D$6,MATCH(RAB!C62,'HARGA SATUAN'!$C$7:$C$1492,0),0)),"",OFFSET('HARGA SATUAN'!$D$6,MATCH(RAB!C62,'HARGA SATUAN'!$C$7:$C$1492,0),0))</f>
        <v>HDW</v>
      </c>
      <c r="E62" s="356" t="str">
        <f ca="1">IF(B62="+","Unit",IF(ISERROR(OFFSET('HARGA SATUAN'!$E$6,MATCH(RAB!C62,'HARGA SATUAN'!$C$7:$C$1492,0),0)),"",OFFSET('HARGA SATUAN'!$E$6,MATCH(RAB!C62,'HARGA SATUAN'!$C$7:$C$1492,0),0)))</f>
        <v>Bh</v>
      </c>
      <c r="F62" s="494">
        <f>F57*1</f>
        <v>1</v>
      </c>
      <c r="G62" s="357">
        <f ca="1">IF(ISERROR(OFFSET('HARGA SATUAN'!$I$6,MATCH(RAB!C62,'HARGA SATUAN'!$C$7:$C$1492,0),0)),0,OFFSET('HARGA SATUAN'!$I$6,MATCH(RAB!C62,'HARGA SATUAN'!$C$7:$C$1492,0),0))</f>
        <v>380500</v>
      </c>
      <c r="H62" s="358">
        <f t="shared" ca="1" si="24"/>
        <v>0</v>
      </c>
      <c r="I62" s="358">
        <f t="shared" ca="1" si="25"/>
        <v>380500</v>
      </c>
      <c r="J62" s="358">
        <f t="shared" ca="1" si="26"/>
        <v>0</v>
      </c>
      <c r="K62" s="359">
        <f t="shared" ca="1" si="27"/>
        <v>380500</v>
      </c>
      <c r="L62" s="339"/>
      <c r="M62" s="339"/>
      <c r="N62" s="366"/>
      <c r="O62" s="341"/>
      <c r="P62" s="394"/>
      <c r="Q62" s="341"/>
    </row>
    <row r="63" spans="1:17" s="362" customFormat="1">
      <c r="A63" s="333"/>
      <c r="B63" s="531">
        <v>6</v>
      </c>
      <c r="C63" s="532" t="s">
        <v>217</v>
      </c>
      <c r="D63" s="355" t="str">
        <f ca="1">IF(ISERROR(OFFSET('HARGA SATUAN'!$D$6,MATCH(RAB!C63,'HARGA SATUAN'!$C$7:$C$1492,0),0)),"",OFFSET('HARGA SATUAN'!$D$6,MATCH(RAB!C63,'HARGA SATUAN'!$C$7:$C$1492,0),0))</f>
        <v>HDW</v>
      </c>
      <c r="E63" s="356" t="str">
        <f ca="1">IF(B63="+","Unit",IF(ISERROR(OFFSET('HARGA SATUAN'!$E$6,MATCH(RAB!C63,'HARGA SATUAN'!$C$7:$C$1492,0),0)),"",OFFSET('HARGA SATUAN'!$E$6,MATCH(RAB!C63,'HARGA SATUAN'!$C$7:$C$1492,0),0)))</f>
        <v>Bh</v>
      </c>
      <c r="F63" s="494">
        <f>F57*1</f>
        <v>1</v>
      </c>
      <c r="G63" s="357">
        <f ca="1">IF(ISERROR(OFFSET('HARGA SATUAN'!$I$6,MATCH(RAB!C63,'HARGA SATUAN'!$C$7:$C$1492,0),0)),0,OFFSET('HARGA SATUAN'!$I$6,MATCH(RAB!C63,'HARGA SATUAN'!$C$7:$C$1492,0),0))</f>
        <v>11400</v>
      </c>
      <c r="H63" s="358">
        <f t="shared" ca="1" si="24"/>
        <v>0</v>
      </c>
      <c r="I63" s="358">
        <f t="shared" ca="1" si="25"/>
        <v>11400</v>
      </c>
      <c r="J63" s="358">
        <f t="shared" ca="1" si="26"/>
        <v>0</v>
      </c>
      <c r="K63" s="359">
        <f t="shared" ca="1" si="27"/>
        <v>11400</v>
      </c>
      <c r="L63" s="339"/>
      <c r="M63" s="339"/>
      <c r="N63" s="366"/>
      <c r="O63" s="341"/>
      <c r="P63" s="394"/>
      <c r="Q63" s="341"/>
    </row>
    <row r="64" spans="1:17" s="362" customFormat="1">
      <c r="A64" s="333"/>
      <c r="B64" s="531">
        <v>7</v>
      </c>
      <c r="C64" s="532" t="s">
        <v>247</v>
      </c>
      <c r="D64" s="355" t="str">
        <f ca="1">IF(ISERROR(OFFSET('HARGA SATUAN'!$D$6,MATCH(RAB!C64,'HARGA SATUAN'!$C$7:$C$1492,0),0)),"",OFFSET('HARGA SATUAN'!$D$6,MATCH(RAB!C64,'HARGA SATUAN'!$C$7:$C$1492,0),0))</f>
        <v>HDW</v>
      </c>
      <c r="E64" s="356" t="str">
        <f ca="1">IF(B64="+","Unit",IF(ISERROR(OFFSET('HARGA SATUAN'!$E$6,MATCH(RAB!C64,'HARGA SATUAN'!$C$7:$C$1492,0),0)),"",OFFSET('HARGA SATUAN'!$E$6,MATCH(RAB!C64,'HARGA SATUAN'!$C$7:$C$1492,0),0)))</f>
        <v>Bh</v>
      </c>
      <c r="F64" s="494">
        <f>F57*1</f>
        <v>1</v>
      </c>
      <c r="G64" s="357">
        <f ca="1">IF(ISERROR(OFFSET('HARGA SATUAN'!$I$6,MATCH(RAB!C64,'HARGA SATUAN'!$C$7:$C$1492,0),0)),0,OFFSET('HARGA SATUAN'!$I$6,MATCH(RAB!C64,'HARGA SATUAN'!$C$7:$C$1492,0),0))</f>
        <v>57690</v>
      </c>
      <c r="H64" s="358">
        <f t="shared" ca="1" si="24"/>
        <v>0</v>
      </c>
      <c r="I64" s="358">
        <f t="shared" ca="1" si="25"/>
        <v>57690</v>
      </c>
      <c r="J64" s="358">
        <f t="shared" ca="1" si="26"/>
        <v>0</v>
      </c>
      <c r="K64" s="359">
        <f t="shared" ca="1" si="27"/>
        <v>57690</v>
      </c>
      <c r="L64" s="339"/>
      <c r="M64" s="339"/>
      <c r="N64" s="366"/>
      <c r="O64" s="341"/>
      <c r="P64" s="394"/>
      <c r="Q64" s="341"/>
    </row>
    <row r="65" spans="1:17" s="362" customFormat="1">
      <c r="A65" s="333"/>
      <c r="B65" s="531">
        <v>8</v>
      </c>
      <c r="C65" s="532" t="s">
        <v>254</v>
      </c>
      <c r="D65" s="355" t="str">
        <f ca="1">IF(ISERROR(OFFSET('HARGA SATUAN'!$D$6,MATCH(RAB!C65,'HARGA SATUAN'!$C$7:$C$1492,0),0)),"",OFFSET('HARGA SATUAN'!$D$6,MATCH(RAB!C65,'HARGA SATUAN'!$C$7:$C$1492,0),0))</f>
        <v>HDW</v>
      </c>
      <c r="E65" s="356" t="str">
        <f ca="1">IF(B65="+","Unit",IF(ISERROR(OFFSET('HARGA SATUAN'!$E$6,MATCH(RAB!C65,'HARGA SATUAN'!$C$7:$C$1492,0),0)),"",OFFSET('HARGA SATUAN'!$E$6,MATCH(RAB!C65,'HARGA SATUAN'!$C$7:$C$1492,0),0)))</f>
        <v>Bh</v>
      </c>
      <c r="F65" s="494">
        <f>F57*1</f>
        <v>1</v>
      </c>
      <c r="G65" s="357">
        <f ca="1">IF(ISERROR(OFFSET('HARGA SATUAN'!$I$6,MATCH(RAB!C65,'HARGA SATUAN'!$C$7:$C$1492,0),0)),0,OFFSET('HARGA SATUAN'!$I$6,MATCH(RAB!C65,'HARGA SATUAN'!$C$7:$C$1492,0),0))</f>
        <v>51100</v>
      </c>
      <c r="H65" s="358">
        <f t="shared" ca="1" si="24"/>
        <v>0</v>
      </c>
      <c r="I65" s="358">
        <f t="shared" ca="1" si="25"/>
        <v>51100</v>
      </c>
      <c r="J65" s="358">
        <f t="shared" ca="1" si="26"/>
        <v>0</v>
      </c>
      <c r="K65" s="359">
        <f t="shared" ca="1" si="27"/>
        <v>51100</v>
      </c>
      <c r="L65" s="339"/>
      <c r="M65" s="339"/>
      <c r="N65" s="366"/>
      <c r="O65" s="341"/>
      <c r="P65" s="394"/>
      <c r="Q65" s="341"/>
    </row>
    <row r="66" spans="1:17" s="362" customFormat="1">
      <c r="A66" s="333"/>
      <c r="B66" s="531">
        <v>9</v>
      </c>
      <c r="C66" s="532" t="s">
        <v>264</v>
      </c>
      <c r="D66" s="355" t="str">
        <f ca="1">IF(ISERROR(OFFSET('HARGA SATUAN'!$D$6,MATCH(RAB!C66,'HARGA SATUAN'!$C$7:$C$1492,0),0)),"",OFFSET('HARGA SATUAN'!$D$6,MATCH(RAB!C66,'HARGA SATUAN'!$C$7:$C$1492,0),0))</f>
        <v>HDW</v>
      </c>
      <c r="E66" s="356" t="str">
        <f ca="1">IF(B66="+","Unit",IF(ISERROR(OFFSET('HARGA SATUAN'!$E$6,MATCH(RAB!C66,'HARGA SATUAN'!$C$7:$C$1492,0),0)),"",OFFSET('HARGA SATUAN'!$E$6,MATCH(RAB!C66,'HARGA SATUAN'!$C$7:$C$1492,0),0)))</f>
        <v>Bh</v>
      </c>
      <c r="F66" s="494">
        <f>F57*1</f>
        <v>1</v>
      </c>
      <c r="G66" s="357">
        <f ca="1">IF(ISERROR(OFFSET('HARGA SATUAN'!$I$6,MATCH(RAB!C66,'HARGA SATUAN'!$C$7:$C$1492,0),0)),0,OFFSET('HARGA SATUAN'!$I$6,MATCH(RAB!C66,'HARGA SATUAN'!$C$7:$C$1492,0),0))</f>
        <v>28000</v>
      </c>
      <c r="H66" s="358">
        <f t="shared" ca="1" si="24"/>
        <v>0</v>
      </c>
      <c r="I66" s="358">
        <f t="shared" ca="1" si="25"/>
        <v>28000</v>
      </c>
      <c r="J66" s="358">
        <f t="shared" ca="1" si="26"/>
        <v>0</v>
      </c>
      <c r="K66" s="359">
        <f t="shared" ca="1" si="27"/>
        <v>28000</v>
      </c>
      <c r="L66" s="339"/>
      <c r="M66" s="339"/>
      <c r="N66" s="366"/>
      <c r="O66" s="341"/>
      <c r="P66" s="394"/>
      <c r="Q66" s="341"/>
    </row>
    <row r="67" spans="1:17" s="362" customFormat="1">
      <c r="A67" s="333"/>
      <c r="B67" s="531">
        <v>10</v>
      </c>
      <c r="C67" s="532" t="s">
        <v>38</v>
      </c>
      <c r="D67" s="355" t="str">
        <f ca="1">IF(ISERROR(OFFSET('HARGA SATUAN'!$D$6,MATCH(RAB!C67,'HARGA SATUAN'!$C$7:$C$1492,0),0)),"",OFFSET('HARGA SATUAN'!$D$6,MATCH(RAB!C67,'HARGA SATUAN'!$C$7:$C$1492,0),0))</f>
        <v>HDW</v>
      </c>
      <c r="E67" s="356" t="str">
        <f ca="1">IF(B67="+","Unit",IF(ISERROR(OFFSET('HARGA SATUAN'!$E$6,MATCH(RAB!C67,'HARGA SATUAN'!$C$7:$C$1492,0),0)),"",OFFSET('HARGA SATUAN'!$E$6,MATCH(RAB!C67,'HARGA SATUAN'!$C$7:$C$1492,0),0)))</f>
        <v>Mtr</v>
      </c>
      <c r="F67" s="494">
        <f>6.2*F57</f>
        <v>6.2</v>
      </c>
      <c r="G67" s="357">
        <f ca="1">IF(ISERROR(OFFSET('HARGA SATUAN'!$I$6,MATCH(RAB!C67,'HARGA SATUAN'!$C$7:$C$1492,0),0)),0,OFFSET('HARGA SATUAN'!$I$6,MATCH(RAB!C67,'HARGA SATUAN'!$C$7:$C$1492,0),0))</f>
        <v>8550</v>
      </c>
      <c r="H67" s="358">
        <f t="shared" ca="1" si="24"/>
        <v>0</v>
      </c>
      <c r="I67" s="358">
        <f t="shared" ca="1" si="25"/>
        <v>53010</v>
      </c>
      <c r="J67" s="358">
        <f t="shared" ca="1" si="26"/>
        <v>0</v>
      </c>
      <c r="K67" s="359">
        <f t="shared" ca="1" si="27"/>
        <v>53010</v>
      </c>
      <c r="L67" s="339"/>
      <c r="M67" s="339"/>
      <c r="N67" s="366"/>
      <c r="O67" s="341"/>
      <c r="P67" s="394"/>
      <c r="Q67" s="341"/>
    </row>
    <row r="68" spans="1:17" s="362" customFormat="1">
      <c r="A68" s="333"/>
      <c r="B68" s="531">
        <v>11</v>
      </c>
      <c r="C68" s="532" t="s">
        <v>26</v>
      </c>
      <c r="D68" s="355" t="str">
        <f ca="1">IF(ISERROR(OFFSET('HARGA SATUAN'!$D$6,MATCH(RAB!C68,'HARGA SATUAN'!$C$7:$C$1492,0),0)),"",OFFSET('HARGA SATUAN'!$D$6,MATCH(RAB!C68,'HARGA SATUAN'!$C$7:$C$1492,0),0))</f>
        <v>HDW</v>
      </c>
      <c r="E68" s="356" t="str">
        <f ca="1">IF(B68="+","Unit",IF(ISERROR(OFFSET('HARGA SATUAN'!$E$6,MATCH(RAB!C68,'HARGA SATUAN'!$C$7:$C$1492,0),0)),"",OFFSET('HARGA SATUAN'!$E$6,MATCH(RAB!C68,'HARGA SATUAN'!$C$7:$C$1492,0),0)))</f>
        <v>Bh</v>
      </c>
      <c r="F68" s="494">
        <f>F57*2</f>
        <v>2</v>
      </c>
      <c r="G68" s="357">
        <f ca="1">IF(ISERROR(OFFSET('HARGA SATUAN'!$I$6,MATCH(RAB!C68,'HARGA SATUAN'!$C$7:$C$1492,0),0)),0,OFFSET('HARGA SATUAN'!$I$6,MATCH(RAB!C68,'HARGA SATUAN'!$C$7:$C$1492,0),0))</f>
        <v>2500</v>
      </c>
      <c r="H68" s="358">
        <f t="shared" ca="1" si="24"/>
        <v>0</v>
      </c>
      <c r="I68" s="358">
        <f t="shared" ca="1" si="25"/>
        <v>5000</v>
      </c>
      <c r="J68" s="358">
        <f t="shared" ca="1" si="26"/>
        <v>0</v>
      </c>
      <c r="K68" s="359">
        <f t="shared" ca="1" si="27"/>
        <v>5000</v>
      </c>
      <c r="L68" s="339"/>
      <c r="M68" s="339"/>
      <c r="N68" s="366"/>
      <c r="O68" s="341"/>
      <c r="P68" s="394"/>
      <c r="Q68" s="341"/>
    </row>
    <row r="69" spans="1:17" s="362" customFormat="1">
      <c r="A69" s="333"/>
      <c r="B69" s="531">
        <v>12</v>
      </c>
      <c r="C69" s="532" t="s">
        <v>685</v>
      </c>
      <c r="D69" s="355" t="str">
        <f ca="1">IF(ISERROR(OFFSET('HARGA SATUAN'!$D$6,MATCH(RAB!C69,'HARGA SATUAN'!$C$7:$C$1492,0),0)),"",OFFSET('HARGA SATUAN'!$D$6,MATCH(RAB!C69,'HARGA SATUAN'!$C$7:$C$1492,0),0))</f>
        <v>JASA</v>
      </c>
      <c r="E69" s="356" t="str">
        <f ca="1">IF(B69="+","Unit",IF(ISERROR(OFFSET('HARGA SATUAN'!$E$6,MATCH(RAB!C69,'HARGA SATUAN'!$C$7:$C$1492,0),0)),"",OFFSET('HARGA SATUAN'!$E$6,MATCH(RAB!C69,'HARGA SATUAN'!$C$7:$C$1492,0),0)))</f>
        <v>Unit</v>
      </c>
      <c r="F69" s="494">
        <f>F57*1</f>
        <v>1</v>
      </c>
      <c r="G69" s="357">
        <f ca="1">IF(ISERROR(OFFSET('HARGA SATUAN'!$I$6,MATCH(RAB!C69,'HARGA SATUAN'!$C$7:$C$1492,0),0)),0,OFFSET('HARGA SATUAN'!$I$6,MATCH(RAB!C69,'HARGA SATUAN'!$C$7:$C$1492,0),0))</f>
        <v>99100</v>
      </c>
      <c r="H69" s="358">
        <f t="shared" ca="1" si="24"/>
        <v>0</v>
      </c>
      <c r="I69" s="358">
        <f t="shared" ca="1" si="25"/>
        <v>0</v>
      </c>
      <c r="J69" s="358">
        <f t="shared" ca="1" si="26"/>
        <v>99100</v>
      </c>
      <c r="K69" s="359">
        <f t="shared" ca="1" si="27"/>
        <v>99100</v>
      </c>
      <c r="L69" s="339"/>
      <c r="M69" s="339"/>
      <c r="N69" s="366"/>
      <c r="O69" s="341"/>
      <c r="P69" s="394"/>
      <c r="Q69" s="341"/>
    </row>
    <row r="70" spans="1:17" s="362" customFormat="1">
      <c r="A70" s="333"/>
      <c r="B70" s="514"/>
      <c r="C70" s="515"/>
      <c r="D70" s="355"/>
      <c r="E70" s="356"/>
      <c r="F70" s="519"/>
      <c r="G70" s="357"/>
      <c r="H70" s="358"/>
      <c r="I70" s="358"/>
      <c r="J70" s="358"/>
      <c r="K70" s="359"/>
      <c r="L70" s="339"/>
      <c r="M70" s="339"/>
      <c r="N70" s="366"/>
      <c r="O70" s="341"/>
      <c r="P70" s="394"/>
      <c r="Q70" s="341"/>
    </row>
    <row r="71" spans="1:17" s="362" customFormat="1">
      <c r="A71" s="333"/>
      <c r="B71" s="507" t="s">
        <v>1035</v>
      </c>
      <c r="C71" s="508" t="s">
        <v>1627</v>
      </c>
      <c r="D71" s="355" t="str">
        <f ca="1">IF(ISERROR(OFFSET('HARGA SATUAN'!$D$6,MATCH(RAB!C71,'HARGA SATUAN'!$C$7:$C$1492,0),0)),"",OFFSET('HARGA SATUAN'!$D$6,MATCH(RAB!C71,'HARGA SATUAN'!$C$7:$C$1492,0),0))</f>
        <v/>
      </c>
      <c r="E71" s="356" t="str">
        <f ca="1">IF(B71="+","Unit",IF(ISERROR(OFFSET('HARGA SATUAN'!$E$6,MATCH(RAB!C71,'HARGA SATUAN'!$C$7:$C$1492,0),0)),"",OFFSET('HARGA SATUAN'!$E$6,MATCH(RAB!C71,'HARGA SATUAN'!$C$7:$C$1492,0),0)))</f>
        <v>Unit</v>
      </c>
      <c r="F71" s="509">
        <v>2</v>
      </c>
      <c r="G71" s="357">
        <f ca="1">IF(ISERROR(OFFSET('HARGA SATUAN'!$I$6,MATCH(RAB!C71,'HARGA SATUAN'!$C$7:$C$1492,0),0)),0,OFFSET('HARGA SATUAN'!$I$6,MATCH(RAB!C71,'HARGA SATUAN'!$C$7:$C$1492,0),0))</f>
        <v>0</v>
      </c>
      <c r="H71" s="358">
        <f t="shared" ca="1" si="20"/>
        <v>0</v>
      </c>
      <c r="I71" s="358">
        <f t="shared" ca="1" si="21"/>
        <v>0</v>
      </c>
      <c r="J71" s="358">
        <f t="shared" ca="1" si="22"/>
        <v>0</v>
      </c>
      <c r="K71" s="359">
        <f t="shared" ca="1" si="23"/>
        <v>0</v>
      </c>
      <c r="L71" s="339"/>
      <c r="M71" s="339"/>
      <c r="N71" s="366"/>
      <c r="O71" s="341"/>
      <c r="P71" s="394"/>
      <c r="Q71" s="341"/>
    </row>
    <row r="72" spans="1:17" s="362" customFormat="1">
      <c r="A72" s="333"/>
      <c r="B72" s="507">
        <v>1</v>
      </c>
      <c r="C72" s="109" t="s">
        <v>1560</v>
      </c>
      <c r="D72" s="355" t="str">
        <f ca="1">IF(ISERROR(OFFSET('HARGA SATUAN'!$D$6,MATCH(RAB!C72,'HARGA SATUAN'!$C$7:$C$1492,0),0)),"",OFFSET('HARGA SATUAN'!$D$6,MATCH(RAB!C72,'HARGA SATUAN'!$C$7:$C$1492,0),0))</f>
        <v>MDU-KD</v>
      </c>
      <c r="E72" s="356" t="str">
        <f ca="1">IF(B72="+","Unit",IF(ISERROR(OFFSET('HARGA SATUAN'!$E$6,MATCH(RAB!C72,'HARGA SATUAN'!$C$7:$C$1492,0),0)),"",OFFSET('HARGA SATUAN'!$E$6,MATCH(RAB!C72,'HARGA SATUAN'!$C$7:$C$1492,0),0)))</f>
        <v>Set</v>
      </c>
      <c r="F72" s="509">
        <f>F71*3</f>
        <v>6</v>
      </c>
      <c r="G72" s="357">
        <f ca="1">IF(ISERROR(OFFSET('HARGA SATUAN'!$I$6,MATCH(RAB!C72,'HARGA SATUAN'!$C$7:$C$1492,0),0)),0,OFFSET('HARGA SATUAN'!$I$6,MATCH(RAB!C72,'HARGA SATUAN'!$C$7:$C$1492,0),0))</f>
        <v>430000</v>
      </c>
      <c r="H72" s="358">
        <f t="shared" ca="1" si="20"/>
        <v>2580000</v>
      </c>
      <c r="I72" s="358">
        <f t="shared" ca="1" si="21"/>
        <v>0</v>
      </c>
      <c r="J72" s="358">
        <f t="shared" ca="1" si="22"/>
        <v>0</v>
      </c>
      <c r="K72" s="359">
        <f t="shared" ca="1" si="23"/>
        <v>2580000</v>
      </c>
      <c r="L72" s="339"/>
      <c r="M72" s="339"/>
      <c r="N72" s="366"/>
      <c r="O72" s="341"/>
      <c r="P72" s="394"/>
      <c r="Q72" s="341"/>
    </row>
    <row r="73" spans="1:17" s="362" customFormat="1">
      <c r="A73" s="333"/>
      <c r="B73" s="507">
        <v>2</v>
      </c>
      <c r="C73" s="508" t="s">
        <v>152</v>
      </c>
      <c r="D73" s="355" t="str">
        <f ca="1">IF(ISERROR(OFFSET('HARGA SATUAN'!$D$6,MATCH(RAB!C73,'HARGA SATUAN'!$C$7:$C$1492,0),0)),"",OFFSET('HARGA SATUAN'!$D$6,MATCH(RAB!C73,'HARGA SATUAN'!$C$7:$C$1492,0),0))</f>
        <v>HDW</v>
      </c>
      <c r="E73" s="356" t="str">
        <f ca="1">IF(B73="+","Unit",IF(ISERROR(OFFSET('HARGA SATUAN'!$E$6,MATCH(RAB!C73,'HARGA SATUAN'!$C$7:$C$1492,0),0)),"",OFFSET('HARGA SATUAN'!$E$6,MATCH(RAB!C73,'HARGA SATUAN'!$C$7:$C$1492,0),0)))</f>
        <v>Mtr</v>
      </c>
      <c r="F73" s="509">
        <f>F71*1</f>
        <v>2</v>
      </c>
      <c r="G73" s="357">
        <f ca="1">IF(ISERROR(OFFSET('HARGA SATUAN'!$I$6,MATCH(RAB!C73,'HARGA SATUAN'!$C$7:$C$1492,0),0)),0,OFFSET('HARGA SATUAN'!$I$6,MATCH(RAB!C73,'HARGA SATUAN'!$C$7:$C$1492,0),0))</f>
        <v>7789</v>
      </c>
      <c r="H73" s="358">
        <f t="shared" ca="1" si="20"/>
        <v>0</v>
      </c>
      <c r="I73" s="358">
        <f t="shared" ca="1" si="21"/>
        <v>15578</v>
      </c>
      <c r="J73" s="358">
        <f t="shared" ca="1" si="22"/>
        <v>0</v>
      </c>
      <c r="K73" s="359">
        <f t="shared" ca="1" si="23"/>
        <v>15578</v>
      </c>
      <c r="L73" s="339"/>
      <c r="M73" s="339"/>
      <c r="N73" s="366"/>
      <c r="O73" s="341"/>
      <c r="P73" s="394"/>
      <c r="Q73" s="341"/>
    </row>
    <row r="74" spans="1:17" s="362" customFormat="1">
      <c r="A74" s="333"/>
      <c r="B74" s="507">
        <v>3</v>
      </c>
      <c r="C74" s="508" t="s">
        <v>157</v>
      </c>
      <c r="D74" s="355" t="str">
        <f ca="1">IF(ISERROR(OFFSET('HARGA SATUAN'!$D$6,MATCH(RAB!C74,'HARGA SATUAN'!$C$7:$C$1492,0),0)),"",OFFSET('HARGA SATUAN'!$D$6,MATCH(RAB!C74,'HARGA SATUAN'!$C$7:$C$1492,0),0))</f>
        <v>HDW</v>
      </c>
      <c r="E74" s="356" t="str">
        <f ca="1">IF(B74="+","Unit",IF(ISERROR(OFFSET('HARGA SATUAN'!$E$6,MATCH(RAB!C74,'HARGA SATUAN'!$C$7:$C$1492,0),0)),"",OFFSET('HARGA SATUAN'!$E$6,MATCH(RAB!C74,'HARGA SATUAN'!$C$7:$C$1492,0),0)))</f>
        <v>Bh</v>
      </c>
      <c r="F74" s="509">
        <f>F71*2</f>
        <v>4</v>
      </c>
      <c r="G74" s="357">
        <f ca="1">IF(ISERROR(OFFSET('HARGA SATUAN'!$I$6,MATCH(RAB!C74,'HARGA SATUAN'!$C$7:$C$1492,0),0)),0,OFFSET('HARGA SATUAN'!$I$6,MATCH(RAB!C74,'HARGA SATUAN'!$C$7:$C$1492,0),0))</f>
        <v>40000</v>
      </c>
      <c r="H74" s="358">
        <f t="shared" ref="H74:H90" ca="1" si="28">IF(OR(D74="MDU",D74="MDU-KD"),(IF($O$3="RAB NON MDU","PLN KD",G74*F74)),0)</f>
        <v>0</v>
      </c>
      <c r="I74" s="358">
        <f t="shared" ref="I74:I90" ca="1" si="29">IF(D74="HDW",G74*F74,0)</f>
        <v>160000</v>
      </c>
      <c r="J74" s="358">
        <f t="shared" ref="J74:J90" ca="1" si="30">IF(D74="JASA",G74*F74,0)</f>
        <v>0</v>
      </c>
      <c r="K74" s="359">
        <f t="shared" ref="K74:K90" ca="1" si="31">SUM(H74:J74)</f>
        <v>160000</v>
      </c>
      <c r="L74" s="339"/>
      <c r="M74" s="339"/>
      <c r="N74" s="366"/>
      <c r="O74" s="341"/>
      <c r="P74" s="394"/>
      <c r="Q74" s="341"/>
    </row>
    <row r="75" spans="1:17" s="362" customFormat="1">
      <c r="A75" s="333"/>
      <c r="B75" s="507">
        <v>4</v>
      </c>
      <c r="C75" s="508" t="s">
        <v>28</v>
      </c>
      <c r="D75" s="355" t="str">
        <f ca="1">IF(ISERROR(OFFSET('HARGA SATUAN'!$D$6,MATCH(RAB!C75,'HARGA SATUAN'!$C$7:$C$1492,0),0)),"",OFFSET('HARGA SATUAN'!$D$6,MATCH(RAB!C75,'HARGA SATUAN'!$C$7:$C$1492,0),0))</f>
        <v>HDW</v>
      </c>
      <c r="E75" s="356" t="str">
        <f ca="1">IF(B75="+","Unit",IF(ISERROR(OFFSET('HARGA SATUAN'!$E$6,MATCH(RAB!C75,'HARGA SATUAN'!$C$7:$C$1492,0),0)),"",OFFSET('HARGA SATUAN'!$E$6,MATCH(RAB!C75,'HARGA SATUAN'!$C$7:$C$1492,0),0)))</f>
        <v>Bh</v>
      </c>
      <c r="F75" s="509">
        <f>F71*1</f>
        <v>2</v>
      </c>
      <c r="G75" s="357">
        <f ca="1">IF(ISERROR(OFFSET('HARGA SATUAN'!$I$6,MATCH(RAB!C75,'HARGA SATUAN'!$C$7:$C$1492,0),0)),0,OFFSET('HARGA SATUAN'!$I$6,MATCH(RAB!C75,'HARGA SATUAN'!$C$7:$C$1492,0),0))</f>
        <v>26500</v>
      </c>
      <c r="H75" s="358">
        <f t="shared" ca="1" si="28"/>
        <v>0</v>
      </c>
      <c r="I75" s="358">
        <f t="shared" ca="1" si="29"/>
        <v>53000</v>
      </c>
      <c r="J75" s="358">
        <f t="shared" ca="1" si="30"/>
        <v>0</v>
      </c>
      <c r="K75" s="359">
        <f t="shared" ca="1" si="31"/>
        <v>53000</v>
      </c>
      <c r="L75" s="339"/>
      <c r="M75" s="339"/>
      <c r="N75" s="366"/>
      <c r="O75" s="341"/>
      <c r="P75" s="394"/>
      <c r="Q75" s="341"/>
    </row>
    <row r="76" spans="1:17" s="362" customFormat="1">
      <c r="A76" s="333"/>
      <c r="B76" s="507">
        <v>5</v>
      </c>
      <c r="C76" s="508" t="s">
        <v>163</v>
      </c>
      <c r="D76" s="355" t="str">
        <f ca="1">IF(ISERROR(OFFSET('HARGA SATUAN'!$D$6,MATCH(RAB!C76,'HARGA SATUAN'!$C$7:$C$1492,0),0)),"",OFFSET('HARGA SATUAN'!$D$6,MATCH(RAB!C76,'HARGA SATUAN'!$C$7:$C$1492,0),0))</f>
        <v>HDW</v>
      </c>
      <c r="E76" s="356" t="str">
        <f ca="1">IF(B76="+","Unit",IF(ISERROR(OFFSET('HARGA SATUAN'!$E$6,MATCH(RAB!C76,'HARGA SATUAN'!$C$7:$C$1492,0),0)),"",OFFSET('HARGA SATUAN'!$E$6,MATCH(RAB!C76,'HARGA SATUAN'!$C$7:$C$1492,0),0)))</f>
        <v>Bh</v>
      </c>
      <c r="F76" s="509">
        <f>F71*4</f>
        <v>8</v>
      </c>
      <c r="G76" s="357">
        <f ca="1">IF(ISERROR(OFFSET('HARGA SATUAN'!$I$6,MATCH(RAB!C76,'HARGA SATUAN'!$C$7:$C$1492,0),0)),0,OFFSET('HARGA SATUAN'!$I$6,MATCH(RAB!C76,'HARGA SATUAN'!$C$7:$C$1492,0),0))</f>
        <v>7938</v>
      </c>
      <c r="H76" s="358">
        <f t="shared" ca="1" si="28"/>
        <v>0</v>
      </c>
      <c r="I76" s="358">
        <f t="shared" ca="1" si="29"/>
        <v>63504</v>
      </c>
      <c r="J76" s="358">
        <f t="shared" ca="1" si="30"/>
        <v>0</v>
      </c>
      <c r="K76" s="359">
        <f t="shared" ca="1" si="31"/>
        <v>63504</v>
      </c>
      <c r="L76" s="339"/>
      <c r="M76" s="339"/>
      <c r="N76" s="366"/>
      <c r="O76" s="341"/>
      <c r="P76" s="394"/>
      <c r="Q76" s="341"/>
    </row>
    <row r="77" spans="1:17" s="362" customFormat="1">
      <c r="A77" s="333"/>
      <c r="B77" s="507">
        <v>6</v>
      </c>
      <c r="C77" s="508" t="s">
        <v>173</v>
      </c>
      <c r="D77" s="355" t="str">
        <f ca="1">IF(ISERROR(OFFSET('HARGA SATUAN'!$D$6,MATCH(RAB!C77,'HARGA SATUAN'!$C$7:$C$1492,0),0)),"",OFFSET('HARGA SATUAN'!$D$6,MATCH(RAB!C77,'HARGA SATUAN'!$C$7:$C$1492,0),0))</f>
        <v>HDW</v>
      </c>
      <c r="E77" s="356" t="str">
        <f ca="1">IF(B77="+","Unit",IF(ISERROR(OFFSET('HARGA SATUAN'!$E$6,MATCH(RAB!C77,'HARGA SATUAN'!$C$7:$C$1492,0),0)),"",OFFSET('HARGA SATUAN'!$E$6,MATCH(RAB!C77,'HARGA SATUAN'!$C$7:$C$1492,0),0)))</f>
        <v>Bh</v>
      </c>
      <c r="F77" s="509">
        <f>F71*4</f>
        <v>8</v>
      </c>
      <c r="G77" s="357">
        <f ca="1">IF(ISERROR(OFFSET('HARGA SATUAN'!$I$6,MATCH(RAB!C77,'HARGA SATUAN'!$C$7:$C$1492,0),0)),0,OFFSET('HARGA SATUAN'!$I$6,MATCH(RAB!C77,'HARGA SATUAN'!$C$7:$C$1492,0),0))</f>
        <v>45000</v>
      </c>
      <c r="H77" s="358">
        <f t="shared" ca="1" si="28"/>
        <v>0</v>
      </c>
      <c r="I77" s="358">
        <f t="shared" ca="1" si="29"/>
        <v>360000</v>
      </c>
      <c r="J77" s="358">
        <f t="shared" ca="1" si="30"/>
        <v>0</v>
      </c>
      <c r="K77" s="359">
        <f t="shared" ca="1" si="31"/>
        <v>360000</v>
      </c>
      <c r="L77" s="339"/>
      <c r="M77" s="339"/>
      <c r="N77" s="366"/>
      <c r="O77" s="341"/>
      <c r="P77" s="394"/>
      <c r="Q77" s="341"/>
    </row>
    <row r="78" spans="1:17" s="362" customFormat="1">
      <c r="A78" s="333"/>
      <c r="B78" s="507">
        <v>7</v>
      </c>
      <c r="C78" s="508" t="s">
        <v>179</v>
      </c>
      <c r="D78" s="355" t="str">
        <f ca="1">IF(ISERROR(OFFSET('HARGA SATUAN'!$D$6,MATCH(RAB!C78,'HARGA SATUAN'!$C$7:$C$1492,0),0)),"",OFFSET('HARGA SATUAN'!$D$6,MATCH(RAB!C78,'HARGA SATUAN'!$C$7:$C$1492,0),0))</f>
        <v>HDW</v>
      </c>
      <c r="E78" s="356" t="str">
        <f ca="1">IF(B78="+","Unit",IF(ISERROR(OFFSET('HARGA SATUAN'!$E$6,MATCH(RAB!C78,'HARGA SATUAN'!$C$7:$C$1492,0),0)),"",OFFSET('HARGA SATUAN'!$E$6,MATCH(RAB!C78,'HARGA SATUAN'!$C$7:$C$1492,0),0)))</f>
        <v>Bh</v>
      </c>
      <c r="F78" s="509">
        <f>F71*1</f>
        <v>2</v>
      </c>
      <c r="G78" s="357">
        <f ca="1">IF(ISERROR(OFFSET('HARGA SATUAN'!$I$6,MATCH(RAB!C78,'HARGA SATUAN'!$C$7:$C$1492,0),0)),0,OFFSET('HARGA SATUAN'!$I$6,MATCH(RAB!C78,'HARGA SATUAN'!$C$7:$C$1492,0),0))</f>
        <v>15500</v>
      </c>
      <c r="H78" s="358">
        <f t="shared" ca="1" si="28"/>
        <v>0</v>
      </c>
      <c r="I78" s="358">
        <f t="shared" ca="1" si="29"/>
        <v>31000</v>
      </c>
      <c r="J78" s="358">
        <f t="shared" ca="1" si="30"/>
        <v>0</v>
      </c>
      <c r="K78" s="359">
        <f t="shared" ca="1" si="31"/>
        <v>31000</v>
      </c>
      <c r="L78" s="339"/>
      <c r="M78" s="339"/>
      <c r="N78" s="366"/>
      <c r="O78" s="341"/>
      <c r="P78" s="394"/>
      <c r="Q78" s="341"/>
    </row>
    <row r="79" spans="1:17" s="362" customFormat="1">
      <c r="A79" s="333"/>
      <c r="B79" s="507">
        <v>8</v>
      </c>
      <c r="C79" s="508" t="s">
        <v>593</v>
      </c>
      <c r="D79" s="355" t="str">
        <f ca="1">IF(ISERROR(OFFSET('HARGA SATUAN'!$D$6,MATCH(RAB!C79,'HARGA SATUAN'!$C$7:$C$1492,0),0)),"",OFFSET('HARGA SATUAN'!$D$6,MATCH(RAB!C79,'HARGA SATUAN'!$C$7:$C$1492,0),0))</f>
        <v>HDW</v>
      </c>
      <c r="E79" s="356" t="str">
        <f ca="1">IF(B79="+","Unit",IF(ISERROR(OFFSET('HARGA SATUAN'!$E$6,MATCH(RAB!C79,'HARGA SATUAN'!$C$7:$C$1492,0),0)),"",OFFSET('HARGA SATUAN'!$E$6,MATCH(RAB!C79,'HARGA SATUAN'!$C$7:$C$1492,0),0)))</f>
        <v>Bh</v>
      </c>
      <c r="F79" s="509">
        <f>F71*2</f>
        <v>4</v>
      </c>
      <c r="G79" s="357">
        <f ca="1">IF(ISERROR(OFFSET('HARGA SATUAN'!$I$6,MATCH(RAB!C79,'HARGA SATUAN'!$C$7:$C$1492,0),0)),0,OFFSET('HARGA SATUAN'!$I$6,MATCH(RAB!C79,'HARGA SATUAN'!$C$7:$C$1492,0),0))</f>
        <v>380500</v>
      </c>
      <c r="H79" s="358">
        <f t="shared" ca="1" si="28"/>
        <v>0</v>
      </c>
      <c r="I79" s="358">
        <f t="shared" ca="1" si="29"/>
        <v>1522000</v>
      </c>
      <c r="J79" s="358">
        <f t="shared" ca="1" si="30"/>
        <v>0</v>
      </c>
      <c r="K79" s="359">
        <f t="shared" ca="1" si="31"/>
        <v>1522000</v>
      </c>
      <c r="L79" s="339"/>
      <c r="M79" s="339"/>
      <c r="N79" s="366"/>
      <c r="O79" s="341"/>
      <c r="P79" s="394"/>
      <c r="Q79" s="341"/>
    </row>
    <row r="80" spans="1:17" s="362" customFormat="1">
      <c r="A80" s="333"/>
      <c r="B80" s="507">
        <v>9</v>
      </c>
      <c r="C80" s="508" t="s">
        <v>217</v>
      </c>
      <c r="D80" s="355" t="str">
        <f ca="1">IF(ISERROR(OFFSET('HARGA SATUAN'!$D$6,MATCH(RAB!C80,'HARGA SATUAN'!$C$7:$C$1492,0),0)),"",OFFSET('HARGA SATUAN'!$D$6,MATCH(RAB!C80,'HARGA SATUAN'!$C$7:$C$1492,0),0))</f>
        <v>HDW</v>
      </c>
      <c r="E80" s="356" t="str">
        <f ca="1">IF(B80="+","Unit",IF(ISERROR(OFFSET('HARGA SATUAN'!$E$6,MATCH(RAB!C80,'HARGA SATUAN'!$C$7:$C$1492,0),0)),"",OFFSET('HARGA SATUAN'!$E$6,MATCH(RAB!C80,'HARGA SATUAN'!$C$7:$C$1492,0),0)))</f>
        <v>Bh</v>
      </c>
      <c r="F80" s="509">
        <f>F71*4</f>
        <v>8</v>
      </c>
      <c r="G80" s="357">
        <f ca="1">IF(ISERROR(OFFSET('HARGA SATUAN'!$I$6,MATCH(RAB!C80,'HARGA SATUAN'!$C$7:$C$1492,0),0)),0,OFFSET('HARGA SATUAN'!$I$6,MATCH(RAB!C80,'HARGA SATUAN'!$C$7:$C$1492,0),0))</f>
        <v>11400</v>
      </c>
      <c r="H80" s="358">
        <f t="shared" ca="1" si="28"/>
        <v>0</v>
      </c>
      <c r="I80" s="358">
        <f t="shared" ca="1" si="29"/>
        <v>91200</v>
      </c>
      <c r="J80" s="358">
        <f t="shared" ca="1" si="30"/>
        <v>0</v>
      </c>
      <c r="K80" s="359">
        <f t="shared" ca="1" si="31"/>
        <v>91200</v>
      </c>
      <c r="L80" s="339"/>
      <c r="M80" s="339"/>
      <c r="N80" s="366"/>
      <c r="O80" s="341"/>
      <c r="P80" s="394"/>
      <c r="Q80" s="341"/>
    </row>
    <row r="81" spans="1:17" s="362" customFormat="1">
      <c r="A81" s="333"/>
      <c r="B81" s="507">
        <v>10</v>
      </c>
      <c r="C81" s="508" t="s">
        <v>218</v>
      </c>
      <c r="D81" s="355" t="str">
        <f ca="1">IF(ISERROR(OFFSET('HARGA SATUAN'!$D$6,MATCH(RAB!C81,'HARGA SATUAN'!$C$7:$C$1492,0),0)),"",OFFSET('HARGA SATUAN'!$D$6,MATCH(RAB!C81,'HARGA SATUAN'!$C$7:$C$1492,0),0))</f>
        <v>HDW</v>
      </c>
      <c r="E81" s="356" t="str">
        <f ca="1">IF(B81="+","Unit",IF(ISERROR(OFFSET('HARGA SATUAN'!$E$6,MATCH(RAB!C81,'HARGA SATUAN'!$C$7:$C$1492,0),0)),"",OFFSET('HARGA SATUAN'!$E$6,MATCH(RAB!C81,'HARGA SATUAN'!$C$7:$C$1492,0),0)))</f>
        <v>Bh</v>
      </c>
      <c r="F81" s="509">
        <f>F71*2</f>
        <v>4</v>
      </c>
      <c r="G81" s="357">
        <f ca="1">IF(ISERROR(OFFSET('HARGA SATUAN'!$I$6,MATCH(RAB!C81,'HARGA SATUAN'!$C$7:$C$1492,0),0)),0,OFFSET('HARGA SATUAN'!$I$6,MATCH(RAB!C81,'HARGA SATUAN'!$C$7:$C$1492,0),0))</f>
        <v>29600</v>
      </c>
      <c r="H81" s="358">
        <f t="shared" ca="1" si="28"/>
        <v>0</v>
      </c>
      <c r="I81" s="358">
        <f t="shared" ca="1" si="29"/>
        <v>118400</v>
      </c>
      <c r="J81" s="358">
        <f t="shared" ca="1" si="30"/>
        <v>0</v>
      </c>
      <c r="K81" s="359">
        <f t="shared" ca="1" si="31"/>
        <v>118400</v>
      </c>
      <c r="L81" s="339"/>
      <c r="M81" s="339"/>
      <c r="N81" s="366"/>
      <c r="O81" s="341"/>
      <c r="P81" s="394"/>
      <c r="Q81" s="341"/>
    </row>
    <row r="82" spans="1:17" s="362" customFormat="1">
      <c r="A82" s="333"/>
      <c r="B82" s="507">
        <v>11</v>
      </c>
      <c r="C82" s="508" t="s">
        <v>223</v>
      </c>
      <c r="D82" s="355" t="str">
        <f ca="1">IF(ISERROR(OFFSET('HARGA SATUAN'!$D$6,MATCH(RAB!C82,'HARGA SATUAN'!$C$7:$C$1492,0),0)),"",OFFSET('HARGA SATUAN'!$D$6,MATCH(RAB!C82,'HARGA SATUAN'!$C$7:$C$1492,0),0))</f>
        <v>HDW</v>
      </c>
      <c r="E82" s="356" t="str">
        <f ca="1">IF(B82="+","Unit",IF(ISERROR(OFFSET('HARGA SATUAN'!$E$6,MATCH(RAB!C82,'HARGA SATUAN'!$C$7:$C$1492,0),0)),"",OFFSET('HARGA SATUAN'!$E$6,MATCH(RAB!C82,'HARGA SATUAN'!$C$7:$C$1492,0),0)))</f>
        <v>Bh</v>
      </c>
      <c r="F82" s="509">
        <f>F71*1</f>
        <v>2</v>
      </c>
      <c r="G82" s="357">
        <f ca="1">IF(ISERROR(OFFSET('HARGA SATUAN'!$I$6,MATCH(RAB!C82,'HARGA SATUAN'!$C$7:$C$1492,0),0)),0,OFFSET('HARGA SATUAN'!$I$6,MATCH(RAB!C82,'HARGA SATUAN'!$C$7:$C$1492,0),0))</f>
        <v>27815</v>
      </c>
      <c r="H82" s="358">
        <f t="shared" ca="1" si="28"/>
        <v>0</v>
      </c>
      <c r="I82" s="358">
        <f t="shared" ca="1" si="29"/>
        <v>55630</v>
      </c>
      <c r="J82" s="358">
        <f t="shared" ca="1" si="30"/>
        <v>0</v>
      </c>
      <c r="K82" s="359">
        <f t="shared" ca="1" si="31"/>
        <v>55630</v>
      </c>
      <c r="L82" s="339"/>
      <c r="M82" s="339"/>
      <c r="N82" s="366"/>
      <c r="O82" s="341"/>
      <c r="P82" s="394"/>
      <c r="Q82" s="341"/>
    </row>
    <row r="83" spans="1:17" s="362" customFormat="1">
      <c r="A83" s="333"/>
      <c r="B83" s="507">
        <v>12</v>
      </c>
      <c r="C83" s="508" t="s">
        <v>25</v>
      </c>
      <c r="D83" s="355" t="str">
        <f ca="1">IF(ISERROR(OFFSET('HARGA SATUAN'!$D$6,MATCH(RAB!C83,'HARGA SATUAN'!$C$7:$C$1492,0),0)),"",OFFSET('HARGA SATUAN'!$D$6,MATCH(RAB!C83,'HARGA SATUAN'!$C$7:$C$1492,0),0))</f>
        <v>HDW</v>
      </c>
      <c r="E83" s="356" t="str">
        <f ca="1">IF(B83="+","Unit",IF(ISERROR(OFFSET('HARGA SATUAN'!$E$6,MATCH(RAB!C83,'HARGA SATUAN'!$C$7:$C$1492,0),0)),"",OFFSET('HARGA SATUAN'!$E$6,MATCH(RAB!C83,'HARGA SATUAN'!$C$7:$C$1492,0),0)))</f>
        <v>Bh</v>
      </c>
      <c r="F83" s="509">
        <f>F71*3</f>
        <v>6</v>
      </c>
      <c r="G83" s="357">
        <f ca="1">IF(ISERROR(OFFSET('HARGA SATUAN'!$I$6,MATCH(RAB!C83,'HARGA SATUAN'!$C$7:$C$1492,0),0)),0,OFFSET('HARGA SATUAN'!$I$6,MATCH(RAB!C83,'HARGA SATUAN'!$C$7:$C$1492,0),0))</f>
        <v>23936</v>
      </c>
      <c r="H83" s="358">
        <f t="shared" ca="1" si="28"/>
        <v>0</v>
      </c>
      <c r="I83" s="358">
        <f t="shared" ca="1" si="29"/>
        <v>143616</v>
      </c>
      <c r="J83" s="358">
        <f t="shared" ca="1" si="30"/>
        <v>0</v>
      </c>
      <c r="K83" s="359">
        <f t="shared" ca="1" si="31"/>
        <v>143616</v>
      </c>
      <c r="L83" s="339"/>
      <c r="M83" s="339"/>
      <c r="N83" s="366"/>
      <c r="O83" s="341"/>
      <c r="P83" s="394"/>
      <c r="Q83" s="341"/>
    </row>
    <row r="84" spans="1:17" s="362" customFormat="1">
      <c r="A84" s="333"/>
      <c r="B84" s="507">
        <v>13</v>
      </c>
      <c r="C84" s="508" t="s">
        <v>37</v>
      </c>
      <c r="D84" s="355" t="str">
        <f ca="1">IF(ISERROR(OFFSET('HARGA SATUAN'!$D$6,MATCH(RAB!C84,'HARGA SATUAN'!$C$7:$C$1492,0),0)),"",OFFSET('HARGA SATUAN'!$D$6,MATCH(RAB!C84,'HARGA SATUAN'!$C$7:$C$1492,0),0))</f>
        <v>HDW</v>
      </c>
      <c r="E84" s="356" t="str">
        <f ca="1">IF(B84="+","Unit",IF(ISERROR(OFFSET('HARGA SATUAN'!$E$6,MATCH(RAB!C84,'HARGA SATUAN'!$C$7:$C$1492,0),0)),"",OFFSET('HARGA SATUAN'!$E$6,MATCH(RAB!C84,'HARGA SATUAN'!$C$7:$C$1492,0),0)))</f>
        <v>Bh</v>
      </c>
      <c r="F84" s="509">
        <f>F71*1</f>
        <v>2</v>
      </c>
      <c r="G84" s="357">
        <f ca="1">IF(ISERROR(OFFSET('HARGA SATUAN'!$I$6,MATCH(RAB!C84,'HARGA SATUAN'!$C$7:$C$1492,0),0)),0,OFFSET('HARGA SATUAN'!$I$6,MATCH(RAB!C84,'HARGA SATUAN'!$C$7:$C$1492,0),0))</f>
        <v>63500</v>
      </c>
      <c r="H84" s="358">
        <f t="shared" ca="1" si="28"/>
        <v>0</v>
      </c>
      <c r="I84" s="358">
        <f t="shared" ca="1" si="29"/>
        <v>127000</v>
      </c>
      <c r="J84" s="358">
        <f t="shared" ca="1" si="30"/>
        <v>0</v>
      </c>
      <c r="K84" s="359">
        <f t="shared" ca="1" si="31"/>
        <v>127000</v>
      </c>
      <c r="L84" s="339"/>
      <c r="M84" s="339"/>
      <c r="N84" s="366"/>
      <c r="O84" s="341"/>
      <c r="P84" s="394"/>
      <c r="Q84" s="341"/>
    </row>
    <row r="85" spans="1:17" s="362" customFormat="1">
      <c r="A85" s="333"/>
      <c r="B85" s="507">
        <v>14</v>
      </c>
      <c r="C85" s="508" t="s">
        <v>247</v>
      </c>
      <c r="D85" s="355" t="str">
        <f ca="1">IF(ISERROR(OFFSET('HARGA SATUAN'!$D$6,MATCH(RAB!C85,'HARGA SATUAN'!$C$7:$C$1492,0),0)),"",OFFSET('HARGA SATUAN'!$D$6,MATCH(RAB!C85,'HARGA SATUAN'!$C$7:$C$1492,0),0))</f>
        <v>HDW</v>
      </c>
      <c r="E85" s="356" t="str">
        <f ca="1">IF(B85="+","Unit",IF(ISERROR(OFFSET('HARGA SATUAN'!$E$6,MATCH(RAB!C85,'HARGA SATUAN'!$C$7:$C$1492,0),0)),"",OFFSET('HARGA SATUAN'!$E$6,MATCH(RAB!C85,'HARGA SATUAN'!$C$7:$C$1492,0),0)))</f>
        <v>Bh</v>
      </c>
      <c r="F85" s="509">
        <f>F71*1</f>
        <v>2</v>
      </c>
      <c r="G85" s="357">
        <f ca="1">IF(ISERROR(OFFSET('HARGA SATUAN'!$I$6,MATCH(RAB!C85,'HARGA SATUAN'!$C$7:$C$1492,0),0)),0,OFFSET('HARGA SATUAN'!$I$6,MATCH(RAB!C85,'HARGA SATUAN'!$C$7:$C$1492,0),0))</f>
        <v>57690</v>
      </c>
      <c r="H85" s="358">
        <f t="shared" ca="1" si="28"/>
        <v>0</v>
      </c>
      <c r="I85" s="358">
        <f t="shared" ca="1" si="29"/>
        <v>115380</v>
      </c>
      <c r="J85" s="358">
        <f t="shared" ca="1" si="30"/>
        <v>0</v>
      </c>
      <c r="K85" s="359">
        <f t="shared" ca="1" si="31"/>
        <v>115380</v>
      </c>
      <c r="L85" s="339"/>
      <c r="M85" s="339"/>
      <c r="N85" s="366"/>
      <c r="O85" s="341"/>
      <c r="P85" s="394"/>
      <c r="Q85" s="341"/>
    </row>
    <row r="86" spans="1:17" s="362" customFormat="1">
      <c r="A86" s="333"/>
      <c r="B86" s="507">
        <v>15</v>
      </c>
      <c r="C86" s="508" t="s">
        <v>27</v>
      </c>
      <c r="D86" s="355" t="str">
        <f ca="1">IF(ISERROR(OFFSET('HARGA SATUAN'!$D$6,MATCH(RAB!C86,'HARGA SATUAN'!$C$7:$C$1492,0),0)),"",OFFSET('HARGA SATUAN'!$D$6,MATCH(RAB!C86,'HARGA SATUAN'!$C$7:$C$1492,0),0))</f>
        <v>HDW</v>
      </c>
      <c r="E86" s="356" t="str">
        <f ca="1">IF(B86="+","Unit",IF(ISERROR(OFFSET('HARGA SATUAN'!$E$6,MATCH(RAB!C86,'HARGA SATUAN'!$C$7:$C$1492,0),0)),"",OFFSET('HARGA SATUAN'!$E$6,MATCH(RAB!C86,'HARGA SATUAN'!$C$7:$C$1492,0),0)))</f>
        <v>Bh</v>
      </c>
      <c r="F86" s="509">
        <f>F71*3</f>
        <v>6</v>
      </c>
      <c r="G86" s="357">
        <f ca="1">IF(ISERROR(OFFSET('HARGA SATUAN'!$I$6,MATCH(RAB!C86,'HARGA SATUAN'!$C$7:$C$1492,0),0)),0,OFFSET('HARGA SATUAN'!$I$6,MATCH(RAB!C86,'HARGA SATUAN'!$C$7:$C$1492,0),0))</f>
        <v>16000</v>
      </c>
      <c r="H86" s="358">
        <f t="shared" ca="1" si="28"/>
        <v>0</v>
      </c>
      <c r="I86" s="358">
        <f t="shared" ca="1" si="29"/>
        <v>96000</v>
      </c>
      <c r="J86" s="358">
        <f t="shared" ca="1" si="30"/>
        <v>0</v>
      </c>
      <c r="K86" s="359">
        <f t="shared" ca="1" si="31"/>
        <v>96000</v>
      </c>
      <c r="L86" s="339"/>
      <c r="M86" s="339"/>
      <c r="N86" s="366"/>
      <c r="O86" s="341"/>
      <c r="P86" s="394"/>
      <c r="Q86" s="341"/>
    </row>
    <row r="87" spans="1:17" s="362" customFormat="1">
      <c r="A87" s="333"/>
      <c r="B87" s="507">
        <v>16</v>
      </c>
      <c r="C87" s="508" t="s">
        <v>265</v>
      </c>
      <c r="D87" s="355" t="str">
        <f ca="1">IF(ISERROR(OFFSET('HARGA SATUAN'!$D$6,MATCH(RAB!C87,'HARGA SATUAN'!$C$7:$C$1492,0),0)),"",OFFSET('HARGA SATUAN'!$D$6,MATCH(RAB!C87,'HARGA SATUAN'!$C$7:$C$1492,0),0))</f>
        <v>HDW</v>
      </c>
      <c r="E87" s="356" t="str">
        <f ca="1">IF(B87="+","Unit",IF(ISERROR(OFFSET('HARGA SATUAN'!$E$6,MATCH(RAB!C87,'HARGA SATUAN'!$C$7:$C$1492,0),0)),"",OFFSET('HARGA SATUAN'!$E$6,MATCH(RAB!C87,'HARGA SATUAN'!$C$7:$C$1492,0),0)))</f>
        <v>Bh</v>
      </c>
      <c r="F87" s="509">
        <f>F71*1</f>
        <v>2</v>
      </c>
      <c r="G87" s="357">
        <f ca="1">IF(ISERROR(OFFSET('HARGA SATUAN'!$I$6,MATCH(RAB!C87,'HARGA SATUAN'!$C$7:$C$1492,0),0)),0,OFFSET('HARGA SATUAN'!$I$6,MATCH(RAB!C87,'HARGA SATUAN'!$C$7:$C$1492,0),0))</f>
        <v>33501.866666666669</v>
      </c>
      <c r="H87" s="358">
        <f t="shared" ca="1" si="28"/>
        <v>0</v>
      </c>
      <c r="I87" s="358">
        <f t="shared" ca="1" si="29"/>
        <v>67003.733333333337</v>
      </c>
      <c r="J87" s="358">
        <f t="shared" ca="1" si="30"/>
        <v>0</v>
      </c>
      <c r="K87" s="359">
        <f t="shared" ca="1" si="31"/>
        <v>67003.733333333337</v>
      </c>
      <c r="L87" s="339"/>
      <c r="M87" s="339"/>
      <c r="N87" s="366"/>
      <c r="O87" s="341"/>
      <c r="P87" s="394"/>
      <c r="Q87" s="341"/>
    </row>
    <row r="88" spans="1:17" s="362" customFormat="1">
      <c r="A88" s="333"/>
      <c r="B88" s="507">
        <v>17</v>
      </c>
      <c r="C88" s="508" t="s">
        <v>26</v>
      </c>
      <c r="D88" s="355" t="str">
        <f ca="1">IF(ISERROR(OFFSET('HARGA SATUAN'!$D$6,MATCH(RAB!C88,'HARGA SATUAN'!$C$7:$C$1492,0),0)),"",OFFSET('HARGA SATUAN'!$D$6,MATCH(RAB!C88,'HARGA SATUAN'!$C$7:$C$1492,0),0))</f>
        <v>HDW</v>
      </c>
      <c r="E88" s="356" t="str">
        <f ca="1">IF(B88="+","Unit",IF(ISERROR(OFFSET('HARGA SATUAN'!$E$6,MATCH(RAB!C88,'HARGA SATUAN'!$C$7:$C$1492,0),0)),"",OFFSET('HARGA SATUAN'!$E$6,MATCH(RAB!C88,'HARGA SATUAN'!$C$7:$C$1492,0),0)))</f>
        <v>Bh</v>
      </c>
      <c r="F88" s="509">
        <f>F71*11</f>
        <v>22</v>
      </c>
      <c r="G88" s="357">
        <f ca="1">IF(ISERROR(OFFSET('HARGA SATUAN'!$I$6,MATCH(RAB!C88,'HARGA SATUAN'!$C$7:$C$1492,0),0)),0,OFFSET('HARGA SATUAN'!$I$6,MATCH(RAB!C88,'HARGA SATUAN'!$C$7:$C$1492,0),0))</f>
        <v>2500</v>
      </c>
      <c r="H88" s="358">
        <f t="shared" ca="1" si="28"/>
        <v>0</v>
      </c>
      <c r="I88" s="358">
        <f t="shared" ca="1" si="29"/>
        <v>55000</v>
      </c>
      <c r="J88" s="358">
        <f t="shared" ca="1" si="30"/>
        <v>0</v>
      </c>
      <c r="K88" s="359">
        <f t="shared" ca="1" si="31"/>
        <v>55000</v>
      </c>
      <c r="L88" s="339"/>
      <c r="M88" s="339"/>
      <c r="N88" s="366"/>
      <c r="O88" s="341"/>
      <c r="P88" s="394"/>
      <c r="Q88" s="341"/>
    </row>
    <row r="89" spans="1:17" s="362" customFormat="1">
      <c r="A89" s="333"/>
      <c r="B89" s="507">
        <v>18</v>
      </c>
      <c r="C89" s="508" t="s">
        <v>703</v>
      </c>
      <c r="D89" s="355" t="str">
        <f ca="1">IF(ISERROR(OFFSET('HARGA SATUAN'!$D$6,MATCH(RAB!C89,'HARGA SATUAN'!$C$7:$C$1492,0),0)),"",OFFSET('HARGA SATUAN'!$D$6,MATCH(RAB!C89,'HARGA SATUAN'!$C$7:$C$1492,0),0))</f>
        <v>JASA</v>
      </c>
      <c r="E89" s="356" t="str">
        <f ca="1">IF(B89="+","Unit",IF(ISERROR(OFFSET('HARGA SATUAN'!$E$6,MATCH(RAB!C89,'HARGA SATUAN'!$C$7:$C$1492,0),0)),"",OFFSET('HARGA SATUAN'!$E$6,MATCH(RAB!C89,'HARGA SATUAN'!$C$7:$C$1492,0),0)))</f>
        <v>Unit</v>
      </c>
      <c r="F89" s="509">
        <f>F71*1</f>
        <v>2</v>
      </c>
      <c r="G89" s="357">
        <f ca="1">IF(ISERROR(OFFSET('HARGA SATUAN'!$I$6,MATCH(RAB!C89,'HARGA SATUAN'!$C$7:$C$1492,0),0)),0,OFFSET('HARGA SATUAN'!$I$6,MATCH(RAB!C89,'HARGA SATUAN'!$C$7:$C$1492,0),0))</f>
        <v>134700</v>
      </c>
      <c r="H89" s="358">
        <f t="shared" ca="1" si="28"/>
        <v>0</v>
      </c>
      <c r="I89" s="358">
        <f t="shared" ca="1" si="29"/>
        <v>0</v>
      </c>
      <c r="J89" s="358">
        <f t="shared" ca="1" si="30"/>
        <v>269400</v>
      </c>
      <c r="K89" s="359">
        <f t="shared" ca="1" si="31"/>
        <v>269400</v>
      </c>
      <c r="L89" s="339"/>
      <c r="M89" s="339"/>
      <c r="N89" s="366"/>
      <c r="O89" s="341"/>
      <c r="P89" s="394"/>
      <c r="Q89" s="341"/>
    </row>
    <row r="90" spans="1:17" s="362" customFormat="1">
      <c r="A90" s="333"/>
      <c r="B90" s="490"/>
      <c r="C90" s="491"/>
      <c r="D90" s="355" t="str">
        <f ca="1">IF(ISERROR(OFFSET('HARGA SATUAN'!$D$6,MATCH(RAB!C90,'HARGA SATUAN'!$C$7:$C$1492,0),0)),"",OFFSET('HARGA SATUAN'!$D$6,MATCH(RAB!C90,'HARGA SATUAN'!$C$7:$C$1492,0),0))</f>
        <v/>
      </c>
      <c r="E90" s="356" t="str">
        <f ca="1">IF(B90="+","Unit",IF(ISERROR(OFFSET('HARGA SATUAN'!$E$6,MATCH(RAB!C90,'HARGA SATUAN'!$C$7:$C$1492,0),0)),"",OFFSET('HARGA SATUAN'!$E$6,MATCH(RAB!C90,'HARGA SATUAN'!$C$7:$C$1492,0),0)))</f>
        <v/>
      </c>
      <c r="F90" s="494"/>
      <c r="G90" s="357">
        <f ca="1">IF(ISERROR(OFFSET('HARGA SATUAN'!$I$6,MATCH(RAB!C90,'HARGA SATUAN'!$C$7:$C$1492,0),0)),0,OFFSET('HARGA SATUAN'!$I$6,MATCH(RAB!C90,'HARGA SATUAN'!$C$7:$C$1492,0),0))</f>
        <v>0</v>
      </c>
      <c r="H90" s="358">
        <f t="shared" ca="1" si="28"/>
        <v>0</v>
      </c>
      <c r="I90" s="358">
        <f t="shared" ca="1" si="29"/>
        <v>0</v>
      </c>
      <c r="J90" s="358">
        <f t="shared" ca="1" si="30"/>
        <v>0</v>
      </c>
      <c r="K90" s="359">
        <f t="shared" ca="1" si="31"/>
        <v>0</v>
      </c>
      <c r="L90" s="339"/>
      <c r="M90" s="339"/>
      <c r="N90" s="366"/>
      <c r="O90" s="341"/>
      <c r="P90" s="394"/>
      <c r="Q90" s="341"/>
    </row>
    <row r="91" spans="1:17" s="362" customFormat="1">
      <c r="A91" s="333"/>
      <c r="B91" s="485"/>
      <c r="C91" s="504" t="s">
        <v>1625</v>
      </c>
      <c r="D91" s="355" t="str">
        <f ca="1">IF(ISERROR(OFFSET('HARGA SATUAN'!$D$6,MATCH(RAB!C91,'HARGA SATUAN'!$C$7:$C$1492,0),0)),"",OFFSET('HARGA SATUAN'!$D$6,MATCH(RAB!C91,'HARGA SATUAN'!$C$7:$C$1492,0),0))</f>
        <v/>
      </c>
      <c r="E91" s="356" t="str">
        <f ca="1">IF(B91="+","Unit",IF(ISERROR(OFFSET('HARGA SATUAN'!$E$6,MATCH(RAB!C91,'HARGA SATUAN'!$C$7:$C$1492,0),0)),"",OFFSET('HARGA SATUAN'!$E$6,MATCH(RAB!C91,'HARGA SATUAN'!$C$7:$C$1492,0),0)))</f>
        <v/>
      </c>
      <c r="F91" s="494"/>
      <c r="G91" s="357">
        <f ca="1">IF(ISERROR(OFFSET('HARGA SATUAN'!$I$6,MATCH(RAB!C91,'HARGA SATUAN'!$C$7:$C$1492,0),0)),0,OFFSET('HARGA SATUAN'!$I$6,MATCH(RAB!C91,'HARGA SATUAN'!$C$7:$C$1492,0),0))</f>
        <v>0</v>
      </c>
      <c r="H91" s="358">
        <f t="shared" ref="H91:H98" ca="1" si="32">IF(OR(D91="MDU",D91="MDU-KD"),(IF($O$3="RAB NON MDU","PLN KD",G91*F91)),0)</f>
        <v>0</v>
      </c>
      <c r="I91" s="358">
        <f t="shared" ref="I91:I98" ca="1" si="33">IF(D91="HDW",G91*F91,0)</f>
        <v>0</v>
      </c>
      <c r="J91" s="358">
        <f t="shared" ref="J91:J98" ca="1" si="34">IF(D91="JASA",G91*F91,0)</f>
        <v>0</v>
      </c>
      <c r="K91" s="359">
        <f t="shared" ref="K91:K98" ca="1" si="35">SUM(H91:J91)</f>
        <v>0</v>
      </c>
      <c r="L91" s="339"/>
      <c r="M91" s="339"/>
      <c r="N91" s="366"/>
      <c r="O91" s="341"/>
      <c r="P91" s="394"/>
      <c r="Q91" s="341"/>
    </row>
    <row r="92" spans="1:17" s="362" customFormat="1">
      <c r="A92" s="333"/>
      <c r="B92" s="505"/>
      <c r="C92" s="506"/>
      <c r="D92" s="355" t="str">
        <f ca="1">IF(ISERROR(OFFSET('HARGA SATUAN'!$D$6,MATCH(RAB!C92,'HARGA SATUAN'!$C$7:$C$1492,0),0)),"",OFFSET('HARGA SATUAN'!$D$6,MATCH(RAB!C92,'HARGA SATUAN'!$C$7:$C$1492,0),0))</f>
        <v/>
      </c>
      <c r="E92" s="356" t="str">
        <f ca="1">IF(B92="+","Unit",IF(ISERROR(OFFSET('HARGA SATUAN'!$E$6,MATCH(RAB!C92,'HARGA SATUAN'!$C$7:$C$1492,0),0)),"",OFFSET('HARGA SATUAN'!$E$6,MATCH(RAB!C92,'HARGA SATUAN'!$C$7:$C$1492,0),0)))</f>
        <v/>
      </c>
      <c r="F92" s="494"/>
      <c r="G92" s="357">
        <f ca="1">IF(ISERROR(OFFSET('HARGA SATUAN'!$I$6,MATCH(RAB!C92,'HARGA SATUAN'!$C$7:$C$1492,0),0)),0,OFFSET('HARGA SATUAN'!$I$6,MATCH(RAB!C92,'HARGA SATUAN'!$C$7:$C$1492,0),0))</f>
        <v>0</v>
      </c>
      <c r="H92" s="358">
        <f t="shared" ca="1" si="32"/>
        <v>0</v>
      </c>
      <c r="I92" s="358">
        <f t="shared" ca="1" si="33"/>
        <v>0</v>
      </c>
      <c r="J92" s="358">
        <f t="shared" ca="1" si="34"/>
        <v>0</v>
      </c>
      <c r="K92" s="359">
        <f t="shared" ca="1" si="35"/>
        <v>0</v>
      </c>
      <c r="L92" s="339"/>
      <c r="M92" s="339"/>
      <c r="N92" s="366"/>
      <c r="O92" s="341"/>
      <c r="P92" s="394"/>
      <c r="Q92" s="341"/>
    </row>
    <row r="93" spans="1:17" s="362" customFormat="1">
      <c r="A93" s="333"/>
      <c r="B93" s="507" t="s">
        <v>1035</v>
      </c>
      <c r="C93" s="508" t="s">
        <v>1624</v>
      </c>
      <c r="D93" s="355" t="str">
        <f ca="1">IF(ISERROR(OFFSET('HARGA SATUAN'!$D$6,MATCH(RAB!C93,'HARGA SATUAN'!$C$7:$C$1492,0),0)),"",OFFSET('HARGA SATUAN'!$D$6,MATCH(RAB!C93,'HARGA SATUAN'!$C$7:$C$1492,0),0))</f>
        <v/>
      </c>
      <c r="E93" s="356" t="str">
        <f ca="1">IF(B93="+","Unit",IF(ISERROR(OFFSET('HARGA SATUAN'!$E$6,MATCH(RAB!C93,'HARGA SATUAN'!$C$7:$C$1492,0),0)),"",OFFSET('HARGA SATUAN'!$E$6,MATCH(RAB!C93,'HARGA SATUAN'!$C$7:$C$1492,0),0)))</f>
        <v>Unit</v>
      </c>
      <c r="F93" s="495">
        <v>3</v>
      </c>
      <c r="G93" s="357">
        <f ca="1">IF(ISERROR(OFFSET('HARGA SATUAN'!$I$6,MATCH(RAB!C93,'HARGA SATUAN'!$C$7:$C$1492,0),0)),0,OFFSET('HARGA SATUAN'!$I$6,MATCH(RAB!C93,'HARGA SATUAN'!$C$7:$C$1492,0),0))</f>
        <v>0</v>
      </c>
      <c r="H93" s="358">
        <f t="shared" ca="1" si="32"/>
        <v>0</v>
      </c>
      <c r="I93" s="358">
        <f t="shared" ca="1" si="33"/>
        <v>0</v>
      </c>
      <c r="J93" s="358">
        <f t="shared" ca="1" si="34"/>
        <v>0</v>
      </c>
      <c r="K93" s="359">
        <f t="shared" ca="1" si="35"/>
        <v>0</v>
      </c>
      <c r="L93" s="339"/>
      <c r="M93" s="339"/>
      <c r="N93" s="366"/>
      <c r="O93" s="341"/>
      <c r="P93" s="394"/>
      <c r="Q93" s="341"/>
    </row>
    <row r="94" spans="1:17" s="362" customFormat="1">
      <c r="A94" s="333"/>
      <c r="B94" s="507">
        <v>1</v>
      </c>
      <c r="C94" s="109" t="s">
        <v>1559</v>
      </c>
      <c r="D94" s="355" t="str">
        <f ca="1">IF(ISERROR(OFFSET('HARGA SATUAN'!$D$6,MATCH(RAB!C94,'HARGA SATUAN'!$C$7:$C$1492,0),0)),"",OFFSET('HARGA SATUAN'!$D$6,MATCH(RAB!C94,'HARGA SATUAN'!$C$7:$C$1492,0),0))</f>
        <v>MDU-KD</v>
      </c>
      <c r="E94" s="356" t="str">
        <f ca="1">IF(B94="+","Unit",IF(ISERROR(OFFSET('HARGA SATUAN'!$E$6,MATCH(RAB!C94,'HARGA SATUAN'!$C$7:$C$1492,0),0)),"",OFFSET('HARGA SATUAN'!$E$6,MATCH(RAB!C94,'HARGA SATUAN'!$C$7:$C$1492,0),0)))</f>
        <v>Bh</v>
      </c>
      <c r="F94" s="495">
        <f>F93*1</f>
        <v>3</v>
      </c>
      <c r="G94" s="357">
        <f ca="1">IF(ISERROR(OFFSET('HARGA SATUAN'!$I$6,MATCH(RAB!C94,'HARGA SATUAN'!$C$7:$C$1492,0),0)),0,OFFSET('HARGA SATUAN'!$I$6,MATCH(RAB!C94,'HARGA SATUAN'!$C$7:$C$1492,0),0))</f>
        <v>235900</v>
      </c>
      <c r="H94" s="358">
        <f t="shared" ca="1" si="32"/>
        <v>707700</v>
      </c>
      <c r="I94" s="358">
        <f t="shared" ca="1" si="33"/>
        <v>0</v>
      </c>
      <c r="J94" s="358">
        <f t="shared" ca="1" si="34"/>
        <v>0</v>
      </c>
      <c r="K94" s="359">
        <f t="shared" ca="1" si="35"/>
        <v>707700</v>
      </c>
      <c r="L94" s="339"/>
      <c r="M94" s="339"/>
      <c r="N94" s="366"/>
      <c r="O94" s="341"/>
      <c r="P94" s="394"/>
      <c r="Q94" s="341"/>
    </row>
    <row r="95" spans="1:17" s="362" customFormat="1">
      <c r="A95" s="333"/>
      <c r="B95" s="507">
        <v>2</v>
      </c>
      <c r="C95" s="508" t="s">
        <v>26</v>
      </c>
      <c r="D95" s="355" t="str">
        <f ca="1">IF(ISERROR(OFFSET('HARGA SATUAN'!$D$6,MATCH(RAB!C95,'HARGA SATUAN'!$C$7:$C$1492,0),0)),"",OFFSET('HARGA SATUAN'!$D$6,MATCH(RAB!C95,'HARGA SATUAN'!$C$7:$C$1492,0),0))</f>
        <v>HDW</v>
      </c>
      <c r="E95" s="356" t="str">
        <f ca="1">IF(B95="+","Unit",IF(ISERROR(OFFSET('HARGA SATUAN'!$E$6,MATCH(RAB!C95,'HARGA SATUAN'!$C$7:$C$1492,0),0)),"",OFFSET('HARGA SATUAN'!$E$6,MATCH(RAB!C95,'HARGA SATUAN'!$C$7:$C$1492,0),0)))</f>
        <v>Bh</v>
      </c>
      <c r="F95" s="495">
        <f>F93*2</f>
        <v>6</v>
      </c>
      <c r="G95" s="357">
        <f ca="1">IF(ISERROR(OFFSET('HARGA SATUAN'!$I$6,MATCH(RAB!C95,'HARGA SATUAN'!$C$7:$C$1492,0),0)),0,OFFSET('HARGA SATUAN'!$I$6,MATCH(RAB!C95,'HARGA SATUAN'!$C$7:$C$1492,0),0))</f>
        <v>2500</v>
      </c>
      <c r="H95" s="358">
        <f t="shared" ca="1" si="32"/>
        <v>0</v>
      </c>
      <c r="I95" s="358">
        <f t="shared" ca="1" si="33"/>
        <v>15000</v>
      </c>
      <c r="J95" s="358">
        <f t="shared" ca="1" si="34"/>
        <v>0</v>
      </c>
      <c r="K95" s="359">
        <f t="shared" ca="1" si="35"/>
        <v>15000</v>
      </c>
      <c r="L95" s="339"/>
      <c r="M95" s="339"/>
      <c r="N95" s="366"/>
      <c r="O95" s="341"/>
      <c r="P95" s="394"/>
      <c r="Q95" s="341"/>
    </row>
    <row r="96" spans="1:17" s="362" customFormat="1">
      <c r="A96" s="333"/>
      <c r="B96" s="507">
        <v>3</v>
      </c>
      <c r="C96" s="508" t="s">
        <v>38</v>
      </c>
      <c r="D96" s="355" t="str">
        <f ca="1">IF(ISERROR(OFFSET('HARGA SATUAN'!$D$6,MATCH(RAB!C96,'HARGA SATUAN'!$C$7:$C$1492,0),0)),"",OFFSET('HARGA SATUAN'!$D$6,MATCH(RAB!C96,'HARGA SATUAN'!$C$7:$C$1492,0),0))</f>
        <v>HDW</v>
      </c>
      <c r="E96" s="356" t="str">
        <f ca="1">IF(B96="+","Unit",IF(ISERROR(OFFSET('HARGA SATUAN'!$E$6,MATCH(RAB!C96,'HARGA SATUAN'!$C$7:$C$1492,0),0)),"",OFFSET('HARGA SATUAN'!$E$6,MATCH(RAB!C96,'HARGA SATUAN'!$C$7:$C$1492,0),0)))</f>
        <v>Mtr</v>
      </c>
      <c r="F96" s="495">
        <f>F94*1.8</f>
        <v>5.4</v>
      </c>
      <c r="G96" s="357">
        <f ca="1">IF(ISERROR(OFFSET('HARGA SATUAN'!$I$6,MATCH(RAB!C96,'HARGA SATUAN'!$C$7:$C$1492,0),0)),0,OFFSET('HARGA SATUAN'!$I$6,MATCH(RAB!C96,'HARGA SATUAN'!$C$7:$C$1492,0),0))</f>
        <v>8550</v>
      </c>
      <c r="H96" s="358">
        <f t="shared" ca="1" si="32"/>
        <v>0</v>
      </c>
      <c r="I96" s="358">
        <f t="shared" ca="1" si="33"/>
        <v>46170</v>
      </c>
      <c r="J96" s="358">
        <f t="shared" ca="1" si="34"/>
        <v>0</v>
      </c>
      <c r="K96" s="359">
        <f t="shared" ca="1" si="35"/>
        <v>46170</v>
      </c>
      <c r="L96" s="339"/>
      <c r="M96" s="339"/>
      <c r="N96" s="366"/>
      <c r="O96" s="341"/>
      <c r="P96" s="394"/>
      <c r="Q96" s="341"/>
    </row>
    <row r="97" spans="1:17" s="362" customFormat="1">
      <c r="A97" s="333"/>
      <c r="B97" s="507">
        <v>4</v>
      </c>
      <c r="C97" s="508" t="s">
        <v>744</v>
      </c>
      <c r="D97" s="355" t="str">
        <f ca="1">IF(ISERROR(OFFSET('HARGA SATUAN'!$D$6,MATCH(RAB!C97,'HARGA SATUAN'!$C$7:$C$1492,0),0)),"",OFFSET('HARGA SATUAN'!$D$6,MATCH(RAB!C97,'HARGA SATUAN'!$C$7:$C$1492,0),0))</f>
        <v>JASA</v>
      </c>
      <c r="E97" s="356" t="str">
        <f ca="1">IF(B97="+","Unit",IF(ISERROR(OFFSET('HARGA SATUAN'!$E$6,MATCH(RAB!C97,'HARGA SATUAN'!$C$7:$C$1492,0),0)),"",OFFSET('HARGA SATUAN'!$E$6,MATCH(RAB!C97,'HARGA SATUAN'!$C$7:$C$1492,0),0)))</f>
        <v>Unit</v>
      </c>
      <c r="F97" s="495">
        <f>F93*1</f>
        <v>3</v>
      </c>
      <c r="G97" s="357">
        <f ca="1">IF(ISERROR(OFFSET('HARGA SATUAN'!$I$6,MATCH(RAB!C97,'HARGA SATUAN'!$C$7:$C$1492,0),0)),0,OFFSET('HARGA SATUAN'!$I$6,MATCH(RAB!C97,'HARGA SATUAN'!$C$7:$C$1492,0),0))</f>
        <v>31200</v>
      </c>
      <c r="H97" s="358">
        <f t="shared" ca="1" si="32"/>
        <v>0</v>
      </c>
      <c r="I97" s="358">
        <f t="shared" ca="1" si="33"/>
        <v>0</v>
      </c>
      <c r="J97" s="358">
        <f t="shared" ca="1" si="34"/>
        <v>93600</v>
      </c>
      <c r="K97" s="359">
        <f t="shared" ca="1" si="35"/>
        <v>93600</v>
      </c>
      <c r="L97" s="339"/>
      <c r="M97" s="339"/>
      <c r="N97" s="366"/>
      <c r="O97" s="341"/>
      <c r="P97" s="394"/>
      <c r="Q97" s="341"/>
    </row>
    <row r="98" spans="1:17" s="362" customFormat="1">
      <c r="A98" s="333"/>
      <c r="B98" s="490"/>
      <c r="C98" s="491"/>
      <c r="D98" s="355" t="str">
        <f ca="1">IF(ISERROR(OFFSET('HARGA SATUAN'!$D$6,MATCH(RAB!C98,'HARGA SATUAN'!$C$7:$C$1492,0),0)),"",OFFSET('HARGA SATUAN'!$D$6,MATCH(RAB!C98,'HARGA SATUAN'!$C$7:$C$1492,0),0))</f>
        <v/>
      </c>
      <c r="E98" s="356" t="str">
        <f ca="1">IF(B98="+","Unit",IF(ISERROR(OFFSET('HARGA SATUAN'!$E$6,MATCH(RAB!C98,'HARGA SATUAN'!$C$7:$C$1492,0),0)),"",OFFSET('HARGA SATUAN'!$E$6,MATCH(RAB!C98,'HARGA SATUAN'!$C$7:$C$1492,0),0)))</f>
        <v/>
      </c>
      <c r="F98" s="494"/>
      <c r="G98" s="357">
        <f ca="1">IF(ISERROR(OFFSET('HARGA SATUAN'!$I$6,MATCH(RAB!C98,'HARGA SATUAN'!$C$7:$C$1492,0),0)),0,OFFSET('HARGA SATUAN'!$I$6,MATCH(RAB!C98,'HARGA SATUAN'!$C$7:$C$1492,0),0))</f>
        <v>0</v>
      </c>
      <c r="H98" s="358">
        <f t="shared" ca="1" si="32"/>
        <v>0</v>
      </c>
      <c r="I98" s="358">
        <f t="shared" ca="1" si="33"/>
        <v>0</v>
      </c>
      <c r="J98" s="358">
        <f t="shared" ca="1" si="34"/>
        <v>0</v>
      </c>
      <c r="K98" s="359">
        <f t="shared" ca="1" si="35"/>
        <v>0</v>
      </c>
      <c r="L98" s="339"/>
      <c r="M98" s="339"/>
      <c r="N98" s="366"/>
      <c r="O98" s="341"/>
      <c r="P98" s="394"/>
      <c r="Q98" s="341"/>
    </row>
    <row r="99" spans="1:17" s="362" customFormat="1">
      <c r="A99" s="333"/>
      <c r="B99" s="487" t="s">
        <v>1035</v>
      </c>
      <c r="C99" s="504" t="s">
        <v>1615</v>
      </c>
      <c r="D99" s="355" t="str">
        <f ca="1">IF(ISERROR(OFFSET('HARGA SATUAN'!$D$6,MATCH(RAB!C99,'HARGA SATUAN'!$C$7:$C$1492,0),0)),"",OFFSET('HARGA SATUAN'!$D$6,MATCH(RAB!C99,'HARGA SATUAN'!$C$7:$C$1492,0),0))</f>
        <v/>
      </c>
      <c r="E99" s="356" t="str">
        <f ca="1">IF(B99="+","Unit",IF(ISERROR(OFFSET('HARGA SATUAN'!$E$6,MATCH(RAB!C99,'HARGA SATUAN'!$C$7:$C$1492,0),0)),"",OFFSET('HARGA SATUAN'!$E$6,MATCH(RAB!C99,'HARGA SATUAN'!$C$7:$C$1492,0),0)))</f>
        <v>Unit</v>
      </c>
      <c r="F99" s="495"/>
      <c r="G99" s="357">
        <f ca="1">IF(ISERROR(OFFSET('HARGA SATUAN'!$I$6,MATCH(RAB!C99,'HARGA SATUAN'!$C$7:$C$1492,0),0)),0,OFFSET('HARGA SATUAN'!$I$6,MATCH(RAB!C99,'HARGA SATUAN'!$C$7:$C$1492,0),0))</f>
        <v>0</v>
      </c>
      <c r="H99" s="358">
        <f t="shared" ref="H99:H106" ca="1" si="36">IF(OR(D99="MDU",D99="MDU-KD"),(IF($O$3="RAB NON MDU","PLN KD",G99*F99)),0)</f>
        <v>0</v>
      </c>
      <c r="I99" s="358">
        <f t="shared" ref="I99:I106" ca="1" si="37">IF(D99="HDW",G99*F99,0)</f>
        <v>0</v>
      </c>
      <c r="J99" s="358">
        <f t="shared" ref="J99:J106" ca="1" si="38">IF(D99="JASA",G99*F99,0)</f>
        <v>0</v>
      </c>
      <c r="K99" s="359">
        <f t="shared" ref="K99:K106" ca="1" si="39">SUM(H99:J99)</f>
        <v>0</v>
      </c>
      <c r="L99" s="339"/>
      <c r="M99" s="339"/>
      <c r="N99" s="366"/>
      <c r="O99" s="341"/>
      <c r="P99" s="394"/>
      <c r="Q99" s="341"/>
    </row>
    <row r="100" spans="1:17" s="362" customFormat="1">
      <c r="A100" s="333"/>
      <c r="B100" s="490" t="s">
        <v>1035</v>
      </c>
      <c r="C100" s="491" t="s">
        <v>1616</v>
      </c>
      <c r="D100" s="355" t="str">
        <f ca="1">IF(ISERROR(OFFSET('HARGA SATUAN'!$D$6,MATCH(RAB!C100,'HARGA SATUAN'!$C$7:$C$1492,0),0)),"",OFFSET('HARGA SATUAN'!$D$6,MATCH(RAB!C100,'HARGA SATUAN'!$C$7:$C$1492,0),0))</f>
        <v/>
      </c>
      <c r="E100" s="356" t="str">
        <f ca="1">IF(B100="+","Unit",IF(ISERROR(OFFSET('HARGA SATUAN'!$E$6,MATCH(RAB!C100,'HARGA SATUAN'!$C$7:$C$1492,0),0)),"",OFFSET('HARGA SATUAN'!$E$6,MATCH(RAB!C100,'HARGA SATUAN'!$C$7:$C$1492,0),0)))</f>
        <v>Unit</v>
      </c>
      <c r="F100" s="494">
        <v>2</v>
      </c>
      <c r="G100" s="357">
        <f ca="1">IF(ISERROR(OFFSET('HARGA SATUAN'!$I$6,MATCH(RAB!C100,'HARGA SATUAN'!$C$7:$C$1492,0),0)),0,OFFSET('HARGA SATUAN'!$I$6,MATCH(RAB!C100,'HARGA SATUAN'!$C$7:$C$1492,0),0))</f>
        <v>0</v>
      </c>
      <c r="H100" s="358">
        <f t="shared" ca="1" si="36"/>
        <v>0</v>
      </c>
      <c r="I100" s="358">
        <f t="shared" ca="1" si="37"/>
        <v>0</v>
      </c>
      <c r="J100" s="358">
        <f t="shared" ca="1" si="38"/>
        <v>0</v>
      </c>
      <c r="K100" s="359">
        <f t="shared" ca="1" si="39"/>
        <v>0</v>
      </c>
      <c r="L100" s="339"/>
      <c r="M100" s="339"/>
      <c r="N100" s="366"/>
      <c r="O100" s="341"/>
      <c r="P100" s="394"/>
      <c r="Q100" s="341"/>
    </row>
    <row r="101" spans="1:17" s="362" customFormat="1">
      <c r="A101" s="333"/>
      <c r="B101" s="490">
        <v>1</v>
      </c>
      <c r="C101" s="491" t="s">
        <v>28</v>
      </c>
      <c r="D101" s="355" t="str">
        <f ca="1">IF(ISERROR(OFFSET('HARGA SATUAN'!$D$6,MATCH(RAB!C101,'HARGA SATUAN'!$C$7:$C$1492,0),0)),"",OFFSET('HARGA SATUAN'!$D$6,MATCH(RAB!C101,'HARGA SATUAN'!$C$7:$C$1492,0),0))</f>
        <v>HDW</v>
      </c>
      <c r="E101" s="356" t="str">
        <f ca="1">IF(B101="+","Unit",IF(ISERROR(OFFSET('HARGA SATUAN'!$E$6,MATCH(RAB!C101,'HARGA SATUAN'!$C$7:$C$1492,0),0)),"",OFFSET('HARGA SATUAN'!$E$6,MATCH(RAB!C101,'HARGA SATUAN'!$C$7:$C$1492,0),0)))</f>
        <v>Bh</v>
      </c>
      <c r="F101" s="494">
        <f>F100*1</f>
        <v>2</v>
      </c>
      <c r="G101" s="357">
        <f ca="1">IF(ISERROR(OFFSET('HARGA SATUAN'!$I$6,MATCH(RAB!C101,'HARGA SATUAN'!$C$7:$C$1492,0),0)),0,OFFSET('HARGA SATUAN'!$I$6,MATCH(RAB!C101,'HARGA SATUAN'!$C$7:$C$1492,0),0))</f>
        <v>26500</v>
      </c>
      <c r="H101" s="358">
        <f t="shared" ca="1" si="36"/>
        <v>0</v>
      </c>
      <c r="I101" s="358">
        <f t="shared" ca="1" si="37"/>
        <v>53000</v>
      </c>
      <c r="J101" s="358">
        <f t="shared" ca="1" si="38"/>
        <v>0</v>
      </c>
      <c r="K101" s="359">
        <f t="shared" ca="1" si="39"/>
        <v>53000</v>
      </c>
      <c r="L101" s="339"/>
      <c r="M101" s="339"/>
      <c r="N101" s="366"/>
      <c r="O101" s="341"/>
      <c r="P101" s="394"/>
      <c r="Q101" s="341"/>
    </row>
    <row r="102" spans="1:17" s="362" customFormat="1">
      <c r="A102" s="333"/>
      <c r="B102" s="490">
        <v>2</v>
      </c>
      <c r="C102" s="491" t="s">
        <v>203</v>
      </c>
      <c r="D102" s="355" t="str">
        <f ca="1">IF(ISERROR(OFFSET('HARGA SATUAN'!$D$6,MATCH(RAB!C102,'HARGA SATUAN'!$C$7:$C$1492,0),0)),"",OFFSET('HARGA SATUAN'!$D$6,MATCH(RAB!C102,'HARGA SATUAN'!$C$7:$C$1492,0),0))</f>
        <v>HDW</v>
      </c>
      <c r="E102" s="356" t="str">
        <f ca="1">IF(B102="+","Unit",IF(ISERROR(OFFSET('HARGA SATUAN'!$E$6,MATCH(RAB!C102,'HARGA SATUAN'!$C$7:$C$1492,0),0)),"",OFFSET('HARGA SATUAN'!$E$6,MATCH(RAB!C102,'HARGA SATUAN'!$C$7:$C$1492,0),0)))</f>
        <v>Bh</v>
      </c>
      <c r="F102" s="494">
        <f>F100*1</f>
        <v>2</v>
      </c>
      <c r="G102" s="357">
        <f ca="1">IF(ISERROR(OFFSET('HARGA SATUAN'!$I$6,MATCH(RAB!C102,'HARGA SATUAN'!$C$7:$C$1492,0),0)),0,OFFSET('HARGA SATUAN'!$I$6,MATCH(RAB!C102,'HARGA SATUAN'!$C$7:$C$1492,0),0))</f>
        <v>12500</v>
      </c>
      <c r="H102" s="358">
        <f t="shared" ca="1" si="36"/>
        <v>0</v>
      </c>
      <c r="I102" s="358">
        <f t="shared" ca="1" si="37"/>
        <v>25000</v>
      </c>
      <c r="J102" s="358">
        <f t="shared" ca="1" si="38"/>
        <v>0</v>
      </c>
      <c r="K102" s="359">
        <f t="shared" ca="1" si="39"/>
        <v>25000</v>
      </c>
      <c r="L102" s="339"/>
      <c r="M102" s="339"/>
      <c r="N102" s="366"/>
      <c r="O102" s="341"/>
      <c r="P102" s="394"/>
      <c r="Q102" s="341"/>
    </row>
    <row r="103" spans="1:17" s="362" customFormat="1">
      <c r="A103" s="333"/>
      <c r="B103" s="490">
        <v>3</v>
      </c>
      <c r="C103" s="491" t="s">
        <v>206</v>
      </c>
      <c r="D103" s="355" t="str">
        <f ca="1">IF(ISERROR(OFFSET('HARGA SATUAN'!$D$6,MATCH(RAB!C103,'HARGA SATUAN'!$C$7:$C$1492,0),0)),"",OFFSET('HARGA SATUAN'!$D$6,MATCH(RAB!C103,'HARGA SATUAN'!$C$7:$C$1492,0),0))</f>
        <v>HDW</v>
      </c>
      <c r="E103" s="356" t="str">
        <f ca="1">IF(B103="+","Unit",IF(ISERROR(OFFSET('HARGA SATUAN'!$E$6,MATCH(RAB!C103,'HARGA SATUAN'!$C$7:$C$1492,0),0)),"",OFFSET('HARGA SATUAN'!$E$6,MATCH(RAB!C103,'HARGA SATUAN'!$C$7:$C$1492,0),0)))</f>
        <v>Mtr</v>
      </c>
      <c r="F103" s="494">
        <f>F100*12</f>
        <v>24</v>
      </c>
      <c r="G103" s="357">
        <f ca="1">IF(ISERROR(OFFSET('HARGA SATUAN'!$I$6,MATCH(RAB!C103,'HARGA SATUAN'!$C$7:$C$1492,0),0)),0,OFFSET('HARGA SATUAN'!$I$6,MATCH(RAB!C103,'HARGA SATUAN'!$C$7:$C$1492,0),0))</f>
        <v>39204</v>
      </c>
      <c r="H103" s="358">
        <f t="shared" ca="1" si="36"/>
        <v>0</v>
      </c>
      <c r="I103" s="358">
        <f t="shared" ca="1" si="37"/>
        <v>940896</v>
      </c>
      <c r="J103" s="358">
        <f t="shared" ca="1" si="38"/>
        <v>0</v>
      </c>
      <c r="K103" s="359">
        <f t="shared" ca="1" si="39"/>
        <v>940896</v>
      </c>
      <c r="L103" s="339"/>
      <c r="M103" s="339"/>
      <c r="N103" s="366"/>
      <c r="O103" s="341"/>
      <c r="P103" s="394"/>
      <c r="Q103" s="341"/>
    </row>
    <row r="104" spans="1:17" s="362" customFormat="1">
      <c r="A104" s="333"/>
      <c r="B104" s="490">
        <v>4</v>
      </c>
      <c r="C104" s="491" t="s">
        <v>287</v>
      </c>
      <c r="D104" s="355" t="str">
        <f ca="1">IF(ISERROR(OFFSET('HARGA SATUAN'!$D$6,MATCH(RAB!C104,'HARGA SATUAN'!$C$7:$C$1492,0),0)),"",OFFSET('HARGA SATUAN'!$D$6,MATCH(RAB!C104,'HARGA SATUAN'!$C$7:$C$1492,0),0))</f>
        <v>HDW</v>
      </c>
      <c r="E104" s="356" t="str">
        <f ca="1">IF(B104="+","Unit",IF(ISERROR(OFFSET('HARGA SATUAN'!$E$6,MATCH(RAB!C104,'HARGA SATUAN'!$C$7:$C$1492,0),0)),"",OFFSET('HARGA SATUAN'!$E$6,MATCH(RAB!C104,'HARGA SATUAN'!$C$7:$C$1492,0),0)))</f>
        <v>Bh</v>
      </c>
      <c r="F104" s="494">
        <f>F100*2</f>
        <v>4</v>
      </c>
      <c r="G104" s="357">
        <f ca="1">IF(ISERROR(OFFSET('HARGA SATUAN'!$I$6,MATCH(RAB!C104,'HARGA SATUAN'!$C$7:$C$1492,0),0)),0,OFFSET('HARGA SATUAN'!$I$6,MATCH(RAB!C104,'HARGA SATUAN'!$C$7:$C$1492,0),0))</f>
        <v>40000</v>
      </c>
      <c r="H104" s="358">
        <f t="shared" ca="1" si="36"/>
        <v>0</v>
      </c>
      <c r="I104" s="358">
        <f t="shared" ca="1" si="37"/>
        <v>160000</v>
      </c>
      <c r="J104" s="358">
        <f t="shared" ca="1" si="38"/>
        <v>0</v>
      </c>
      <c r="K104" s="359">
        <f t="shared" ca="1" si="39"/>
        <v>160000</v>
      </c>
      <c r="L104" s="339"/>
      <c r="M104" s="339"/>
      <c r="N104" s="366"/>
      <c r="O104" s="341"/>
      <c r="P104" s="394"/>
      <c r="Q104" s="341"/>
    </row>
    <row r="105" spans="1:17" s="362" customFormat="1">
      <c r="A105" s="333"/>
      <c r="B105" s="490">
        <v>5</v>
      </c>
      <c r="C105" s="491" t="s">
        <v>26</v>
      </c>
      <c r="D105" s="355" t="str">
        <f ca="1">IF(ISERROR(OFFSET('HARGA SATUAN'!$D$6,MATCH(RAB!C105,'HARGA SATUAN'!$C$7:$C$1492,0),0)),"",OFFSET('HARGA SATUAN'!$D$6,MATCH(RAB!C105,'HARGA SATUAN'!$C$7:$C$1492,0),0))</f>
        <v>HDW</v>
      </c>
      <c r="E105" s="356" t="str">
        <f ca="1">IF(B105="+","Unit",IF(ISERROR(OFFSET('HARGA SATUAN'!$E$6,MATCH(RAB!C105,'HARGA SATUAN'!$C$7:$C$1492,0),0)),"",OFFSET('HARGA SATUAN'!$E$6,MATCH(RAB!C105,'HARGA SATUAN'!$C$7:$C$1492,0),0)))</f>
        <v>Bh</v>
      </c>
      <c r="F105" s="494">
        <f>F100*1</f>
        <v>2</v>
      </c>
      <c r="G105" s="357">
        <f ca="1">IF(ISERROR(OFFSET('HARGA SATUAN'!$I$6,MATCH(RAB!C105,'HARGA SATUAN'!$C$7:$C$1492,0),0)),0,OFFSET('HARGA SATUAN'!$I$6,MATCH(RAB!C105,'HARGA SATUAN'!$C$7:$C$1492,0),0))</f>
        <v>2500</v>
      </c>
      <c r="H105" s="358">
        <f t="shared" ca="1" si="36"/>
        <v>0</v>
      </c>
      <c r="I105" s="358">
        <f t="shared" ca="1" si="37"/>
        <v>5000</v>
      </c>
      <c r="J105" s="358">
        <f t="shared" ca="1" si="38"/>
        <v>0</v>
      </c>
      <c r="K105" s="359">
        <f t="shared" ca="1" si="39"/>
        <v>5000</v>
      </c>
      <c r="L105" s="339"/>
      <c r="M105" s="339"/>
      <c r="N105" s="366"/>
      <c r="O105" s="341"/>
      <c r="P105" s="394"/>
      <c r="Q105" s="341"/>
    </row>
    <row r="106" spans="1:17" s="362" customFormat="1">
      <c r="A106" s="333"/>
      <c r="B106" s="490">
        <v>6</v>
      </c>
      <c r="C106" s="491" t="s">
        <v>760</v>
      </c>
      <c r="D106" s="355" t="str">
        <f ca="1">IF(ISERROR(OFFSET('HARGA SATUAN'!$D$6,MATCH(RAB!C106,'HARGA SATUAN'!$C$7:$C$1492,0),0)),"",OFFSET('HARGA SATUAN'!$D$6,MATCH(RAB!C106,'HARGA SATUAN'!$C$7:$C$1492,0),0))</f>
        <v>JASA</v>
      </c>
      <c r="E106" s="356" t="str">
        <f ca="1">IF(B106="+","Unit",IF(ISERROR(OFFSET('HARGA SATUAN'!$E$6,MATCH(RAB!C106,'HARGA SATUAN'!$C$7:$C$1492,0),0)),"",OFFSET('HARGA SATUAN'!$E$6,MATCH(RAB!C106,'HARGA SATUAN'!$C$7:$C$1492,0),0)))</f>
        <v>Unit</v>
      </c>
      <c r="F106" s="494">
        <f>F100*1</f>
        <v>2</v>
      </c>
      <c r="G106" s="357">
        <f ca="1">IF(ISERROR(OFFSET('HARGA SATUAN'!$I$6,MATCH(RAB!C106,'HARGA SATUAN'!$C$7:$C$1492,0),0)),0,OFFSET('HARGA SATUAN'!$I$6,MATCH(RAB!C106,'HARGA SATUAN'!$C$7:$C$1492,0),0))</f>
        <v>36600</v>
      </c>
      <c r="H106" s="358">
        <f t="shared" ca="1" si="36"/>
        <v>0</v>
      </c>
      <c r="I106" s="358">
        <f t="shared" ca="1" si="37"/>
        <v>0</v>
      </c>
      <c r="J106" s="358">
        <f t="shared" ca="1" si="38"/>
        <v>73200</v>
      </c>
      <c r="K106" s="359">
        <f t="shared" ca="1" si="39"/>
        <v>73200</v>
      </c>
      <c r="L106" s="339"/>
      <c r="M106" s="339"/>
      <c r="N106" s="366"/>
      <c r="O106" s="341"/>
      <c r="P106" s="394"/>
      <c r="Q106" s="341"/>
    </row>
    <row r="107" spans="1:17" s="362" customFormat="1">
      <c r="A107" s="333"/>
      <c r="B107" s="490"/>
      <c r="C107" s="491"/>
      <c r="D107" s="355" t="str">
        <f ca="1">IF(ISERROR(OFFSET('HARGA SATUAN'!$D$6,MATCH(RAB!C107,'HARGA SATUAN'!$C$7:$C$1492,0),0)),"",OFFSET('HARGA SATUAN'!$D$6,MATCH(RAB!C107,'HARGA SATUAN'!$C$7:$C$1492,0),0))</f>
        <v/>
      </c>
      <c r="E107" s="356" t="str">
        <f ca="1">IF(B107="+","Unit",IF(ISERROR(OFFSET('HARGA SATUAN'!$E$6,MATCH(RAB!C107,'HARGA SATUAN'!$C$7:$C$1492,0),0)),"",OFFSET('HARGA SATUAN'!$E$6,MATCH(RAB!C107,'HARGA SATUAN'!$C$7:$C$1492,0),0)))</f>
        <v/>
      </c>
      <c r="F107" s="495"/>
      <c r="G107" s="357">
        <f ca="1">IF(ISERROR(OFFSET('HARGA SATUAN'!$I$6,MATCH(RAB!C107,'HARGA SATUAN'!$C$7:$C$1492,0),0)),0,OFFSET('HARGA SATUAN'!$I$6,MATCH(RAB!C107,'HARGA SATUAN'!$C$7:$C$1492,0),0))</f>
        <v>0</v>
      </c>
      <c r="H107" s="358">
        <f t="shared" ref="H107:H113" ca="1" si="40">IF(OR(D107="MDU",D107="MDU-KD"),(IF($O$3="RAB NON MDU","PLN KD",G107*F107)),0)</f>
        <v>0</v>
      </c>
      <c r="I107" s="358">
        <f t="shared" ref="I107:I113" ca="1" si="41">IF(D107="HDW",G107*F107,0)</f>
        <v>0</v>
      </c>
      <c r="J107" s="358">
        <f t="shared" ref="J107:J113" ca="1" si="42">IF(D107="JASA",G107*F107,0)</f>
        <v>0</v>
      </c>
      <c r="K107" s="359">
        <f t="shared" ref="K107:K113" ca="1" si="43">SUM(H107:J107)</f>
        <v>0</v>
      </c>
      <c r="L107" s="339"/>
      <c r="M107" s="339"/>
      <c r="N107" s="366"/>
      <c r="O107" s="341"/>
      <c r="P107" s="394"/>
      <c r="Q107" s="341"/>
    </row>
    <row r="108" spans="1:17" s="362" customFormat="1">
      <c r="A108" s="333"/>
      <c r="B108" s="490" t="s">
        <v>1035</v>
      </c>
      <c r="C108" s="491" t="s">
        <v>1617</v>
      </c>
      <c r="D108" s="355" t="str">
        <f ca="1">IF(ISERROR(OFFSET('HARGA SATUAN'!$D$6,MATCH(RAB!C108,'HARGA SATUAN'!$C$7:$C$1492,0),0)),"",OFFSET('HARGA SATUAN'!$D$6,MATCH(RAB!C108,'HARGA SATUAN'!$C$7:$C$1492,0),0))</f>
        <v/>
      </c>
      <c r="E108" s="356" t="str">
        <f ca="1">IF(B108="+","Unit",IF(ISERROR(OFFSET('HARGA SATUAN'!$E$6,MATCH(RAB!C108,'HARGA SATUAN'!$C$7:$C$1492,0),0)),"",OFFSET('HARGA SATUAN'!$E$6,MATCH(RAB!C108,'HARGA SATUAN'!$C$7:$C$1492,0),0)))</f>
        <v>Unit</v>
      </c>
      <c r="F108" s="494">
        <f>F100</f>
        <v>2</v>
      </c>
      <c r="G108" s="357">
        <f ca="1">IF(ISERROR(OFFSET('HARGA SATUAN'!$I$6,MATCH(RAB!C108,'HARGA SATUAN'!$C$7:$C$1492,0),0)),0,OFFSET('HARGA SATUAN'!$I$6,MATCH(RAB!C108,'HARGA SATUAN'!$C$7:$C$1492,0),0))</f>
        <v>0</v>
      </c>
      <c r="H108" s="358">
        <f t="shared" ca="1" si="40"/>
        <v>0</v>
      </c>
      <c r="I108" s="358">
        <f t="shared" ca="1" si="41"/>
        <v>0</v>
      </c>
      <c r="J108" s="358">
        <f t="shared" ca="1" si="42"/>
        <v>0</v>
      </c>
      <c r="K108" s="359">
        <f t="shared" ca="1" si="43"/>
        <v>0</v>
      </c>
      <c r="L108" s="339"/>
      <c r="M108" s="339"/>
      <c r="N108" s="366"/>
      <c r="O108" s="341"/>
      <c r="P108" s="394"/>
      <c r="Q108" s="341"/>
    </row>
    <row r="109" spans="1:17" s="362" customFormat="1">
      <c r="A109" s="333"/>
      <c r="B109" s="496">
        <v>1</v>
      </c>
      <c r="C109" s="497" t="s">
        <v>597</v>
      </c>
      <c r="D109" s="355" t="str">
        <f ca="1">IF(ISERROR(OFFSET('HARGA SATUAN'!$D$6,MATCH(RAB!C109,'HARGA SATUAN'!$C$7:$C$1492,0),0)),"",OFFSET('HARGA SATUAN'!$D$6,MATCH(RAB!C109,'HARGA SATUAN'!$C$7:$C$1492,0),0))</f>
        <v>HDW</v>
      </c>
      <c r="E109" s="356" t="str">
        <f ca="1">IF(B109="+","Unit",IF(ISERROR(OFFSET('HARGA SATUAN'!$E$6,MATCH(RAB!C109,'HARGA SATUAN'!$C$7:$C$1492,0),0)),"",OFFSET('HARGA SATUAN'!$E$6,MATCH(RAB!C109,'HARGA SATUAN'!$C$7:$C$1492,0),0)))</f>
        <v>Bh</v>
      </c>
      <c r="F109" s="494">
        <f>F108*1</f>
        <v>2</v>
      </c>
      <c r="G109" s="357">
        <f ca="1">IF(ISERROR(OFFSET('HARGA SATUAN'!$I$6,MATCH(RAB!C109,'HARGA SATUAN'!$C$7:$C$1492,0),0)),0,OFFSET('HARGA SATUAN'!$I$6,MATCH(RAB!C109,'HARGA SATUAN'!$C$7:$C$1492,0),0))</f>
        <v>120900</v>
      </c>
      <c r="H109" s="358">
        <f t="shared" ca="1" si="40"/>
        <v>0</v>
      </c>
      <c r="I109" s="358">
        <f t="shared" ca="1" si="41"/>
        <v>241800</v>
      </c>
      <c r="J109" s="358">
        <f t="shared" ca="1" si="42"/>
        <v>0</v>
      </c>
      <c r="K109" s="359">
        <f t="shared" ca="1" si="43"/>
        <v>241800</v>
      </c>
      <c r="L109" s="339"/>
      <c r="M109" s="339"/>
      <c r="N109" s="366"/>
      <c r="O109" s="341"/>
      <c r="P109" s="394"/>
      <c r="Q109" s="341"/>
    </row>
    <row r="110" spans="1:17" s="362" customFormat="1">
      <c r="A110" s="333"/>
      <c r="B110" s="498">
        <v>2</v>
      </c>
      <c r="C110" s="499" t="s">
        <v>261</v>
      </c>
      <c r="D110" s="355" t="str">
        <f ca="1">IF(ISERROR(OFFSET('HARGA SATUAN'!$D$6,MATCH(RAB!C110,'HARGA SATUAN'!$C$7:$C$1492,0),0)),"",OFFSET('HARGA SATUAN'!$D$6,MATCH(RAB!C110,'HARGA SATUAN'!$C$7:$C$1492,0),0))</f>
        <v>HDW</v>
      </c>
      <c r="E110" s="356" t="str">
        <f ca="1">IF(B110="+","Unit",IF(ISERROR(OFFSET('HARGA SATUAN'!$E$6,MATCH(RAB!C110,'HARGA SATUAN'!$C$7:$C$1492,0),0)),"",OFFSET('HARGA SATUAN'!$E$6,MATCH(RAB!C110,'HARGA SATUAN'!$C$7:$C$1492,0),0)))</f>
        <v>Bh</v>
      </c>
      <c r="F110" s="494">
        <f>F108*1</f>
        <v>2</v>
      </c>
      <c r="G110" s="357">
        <f ca="1">IF(ISERROR(OFFSET('HARGA SATUAN'!$I$6,MATCH(RAB!C110,'HARGA SATUAN'!$C$7:$C$1492,0),0)),0,OFFSET('HARGA SATUAN'!$I$6,MATCH(RAB!C110,'HARGA SATUAN'!$C$7:$C$1492,0),0))</f>
        <v>135800</v>
      </c>
      <c r="H110" s="358">
        <f t="shared" ca="1" si="40"/>
        <v>0</v>
      </c>
      <c r="I110" s="358">
        <f t="shared" ca="1" si="41"/>
        <v>271600</v>
      </c>
      <c r="J110" s="358">
        <f t="shared" ca="1" si="42"/>
        <v>0</v>
      </c>
      <c r="K110" s="359">
        <f t="shared" ca="1" si="43"/>
        <v>271600</v>
      </c>
      <c r="L110" s="339"/>
      <c r="M110" s="339"/>
      <c r="N110" s="366"/>
      <c r="O110" s="341"/>
      <c r="P110" s="394"/>
      <c r="Q110" s="341"/>
    </row>
    <row r="111" spans="1:17" s="362" customFormat="1">
      <c r="A111" s="333"/>
      <c r="B111" s="498">
        <v>3</v>
      </c>
      <c r="C111" s="500" t="s">
        <v>214</v>
      </c>
      <c r="D111" s="355" t="str">
        <f ca="1">IF(ISERROR(OFFSET('HARGA SATUAN'!$D$6,MATCH(RAB!C111,'HARGA SATUAN'!$C$7:$C$1492,0),0)),"",OFFSET('HARGA SATUAN'!$D$6,MATCH(RAB!C111,'HARGA SATUAN'!$C$7:$C$1492,0),0))</f>
        <v>HDW</v>
      </c>
      <c r="E111" s="356" t="str">
        <f ca="1">IF(B111="+","Unit",IF(ISERROR(OFFSET('HARGA SATUAN'!$E$6,MATCH(RAB!C111,'HARGA SATUAN'!$C$7:$C$1492,0),0)),"",OFFSET('HARGA SATUAN'!$E$6,MATCH(RAB!C111,'HARGA SATUAN'!$C$7:$C$1492,0),0)))</f>
        <v>Bh</v>
      </c>
      <c r="F111" s="492">
        <f>F108*1</f>
        <v>2</v>
      </c>
      <c r="G111" s="357">
        <f ca="1">IF(ISERROR(OFFSET('HARGA SATUAN'!$I$6,MATCH(RAB!C111,'HARGA SATUAN'!$C$7:$C$1492,0),0)),0,OFFSET('HARGA SATUAN'!$I$6,MATCH(RAB!C111,'HARGA SATUAN'!$C$7:$C$1492,0),0))</f>
        <v>4500</v>
      </c>
      <c r="H111" s="358">
        <f t="shared" ca="1" si="40"/>
        <v>0</v>
      </c>
      <c r="I111" s="358">
        <f t="shared" ca="1" si="41"/>
        <v>9000</v>
      </c>
      <c r="J111" s="358">
        <f t="shared" ca="1" si="42"/>
        <v>0</v>
      </c>
      <c r="K111" s="359">
        <f t="shared" ca="1" si="43"/>
        <v>9000</v>
      </c>
      <c r="L111" s="339"/>
      <c r="M111" s="339"/>
      <c r="N111" s="366"/>
      <c r="O111" s="341"/>
      <c r="P111" s="394"/>
      <c r="Q111" s="341"/>
    </row>
    <row r="112" spans="1:17" s="362" customFormat="1">
      <c r="A112" s="333"/>
      <c r="B112" s="490">
        <v>4</v>
      </c>
      <c r="C112" s="491" t="s">
        <v>768</v>
      </c>
      <c r="D112" s="355" t="str">
        <f ca="1">IF(ISERROR(OFFSET('HARGA SATUAN'!$D$6,MATCH(RAB!C112,'HARGA SATUAN'!$C$7:$C$1492,0),0)),"",OFFSET('HARGA SATUAN'!$D$6,MATCH(RAB!C112,'HARGA SATUAN'!$C$7:$C$1492,0),0))</f>
        <v>JASA</v>
      </c>
      <c r="E112" s="356" t="str">
        <f ca="1">IF(B112="+","Unit",IF(ISERROR(OFFSET('HARGA SATUAN'!$E$6,MATCH(RAB!C112,'HARGA SATUAN'!$C$7:$C$1492,0),0)),"",OFFSET('HARGA SATUAN'!$E$6,MATCH(RAB!C112,'HARGA SATUAN'!$C$7:$C$1492,0),0)))</f>
        <v>Unit</v>
      </c>
      <c r="F112" s="494">
        <f>F108*1</f>
        <v>2</v>
      </c>
      <c r="G112" s="357">
        <f ca="1">IF(ISERROR(OFFSET('HARGA SATUAN'!$I$6,MATCH(RAB!C112,'HARGA SATUAN'!$C$7:$C$1492,0),0)),0,OFFSET('HARGA SATUAN'!$I$6,MATCH(RAB!C112,'HARGA SATUAN'!$C$7:$C$1492,0),0))</f>
        <v>55500</v>
      </c>
      <c r="H112" s="358">
        <f t="shared" ca="1" si="40"/>
        <v>0</v>
      </c>
      <c r="I112" s="358">
        <f t="shared" ca="1" si="41"/>
        <v>0</v>
      </c>
      <c r="J112" s="358">
        <f t="shared" ca="1" si="42"/>
        <v>111000</v>
      </c>
      <c r="K112" s="359">
        <f t="shared" ca="1" si="43"/>
        <v>111000</v>
      </c>
      <c r="L112" s="339"/>
      <c r="M112" s="339"/>
      <c r="N112" s="366"/>
      <c r="O112" s="341"/>
      <c r="P112" s="394"/>
      <c r="Q112" s="341"/>
    </row>
    <row r="113" spans="1:17" s="362" customFormat="1">
      <c r="A113" s="333"/>
      <c r="B113" s="490"/>
      <c r="C113" s="491"/>
      <c r="D113" s="355" t="str">
        <f ca="1">IF(ISERROR(OFFSET('HARGA SATUAN'!$D$6,MATCH(RAB!C113,'HARGA SATUAN'!$C$7:$C$1492,0),0)),"",OFFSET('HARGA SATUAN'!$D$6,MATCH(RAB!C113,'HARGA SATUAN'!$C$7:$C$1492,0),0))</f>
        <v/>
      </c>
      <c r="E113" s="356" t="str">
        <f ca="1">IF(B113="+","Unit",IF(ISERROR(OFFSET('HARGA SATUAN'!$E$6,MATCH(RAB!C113,'HARGA SATUAN'!$C$7:$C$1492,0),0)),"",OFFSET('HARGA SATUAN'!$E$6,MATCH(RAB!C113,'HARGA SATUAN'!$C$7:$C$1492,0),0)))</f>
        <v/>
      </c>
      <c r="F113" s="495"/>
      <c r="G113" s="357">
        <f ca="1">IF(ISERROR(OFFSET('HARGA SATUAN'!$I$6,MATCH(RAB!C113,'HARGA SATUAN'!$C$7:$C$1492,0),0)),0,OFFSET('HARGA SATUAN'!$I$6,MATCH(RAB!C113,'HARGA SATUAN'!$C$7:$C$1492,0),0))</f>
        <v>0</v>
      </c>
      <c r="H113" s="358">
        <f t="shared" ca="1" si="40"/>
        <v>0</v>
      </c>
      <c r="I113" s="358">
        <f t="shared" ca="1" si="41"/>
        <v>0</v>
      </c>
      <c r="J113" s="358">
        <f t="shared" ca="1" si="42"/>
        <v>0</v>
      </c>
      <c r="K113" s="359">
        <f t="shared" ca="1" si="43"/>
        <v>0</v>
      </c>
      <c r="L113" s="339"/>
      <c r="M113" s="339"/>
      <c r="N113" s="366"/>
      <c r="O113" s="341"/>
      <c r="P113" s="394"/>
      <c r="Q113" s="341"/>
    </row>
    <row r="114" spans="1:17" s="362" customFormat="1">
      <c r="A114" s="333"/>
      <c r="B114" s="490" t="s">
        <v>1035</v>
      </c>
      <c r="C114" s="491" t="s">
        <v>1618</v>
      </c>
      <c r="D114" s="355" t="str">
        <f ca="1">IF(ISERROR(OFFSET('HARGA SATUAN'!$D$6,MATCH(RAB!C114,'HARGA SATUAN'!$C$7:$C$1492,0),0)),"",OFFSET('HARGA SATUAN'!$D$6,MATCH(RAB!C114,'HARGA SATUAN'!$C$7:$C$1492,0),0))</f>
        <v/>
      </c>
      <c r="E114" s="356" t="str">
        <f ca="1">IF(B114="+","Unit",IF(ISERROR(OFFSET('HARGA SATUAN'!$E$6,MATCH(RAB!C114,'HARGA SATUAN'!$C$7:$C$1492,0),0)),"",OFFSET('HARGA SATUAN'!$E$6,MATCH(RAB!C114,'HARGA SATUAN'!$C$7:$C$1492,0),0)))</f>
        <v>Unit</v>
      </c>
      <c r="F114" s="494">
        <f>F100</f>
        <v>2</v>
      </c>
      <c r="G114" s="357">
        <f ca="1">IF(ISERROR(OFFSET('HARGA SATUAN'!$I$6,MATCH(RAB!C114,'HARGA SATUAN'!$C$7:$C$1492,0),0)),0,OFFSET('HARGA SATUAN'!$I$6,MATCH(RAB!C114,'HARGA SATUAN'!$C$7:$C$1492,0),0))</f>
        <v>0</v>
      </c>
      <c r="H114" s="358">
        <f t="shared" ref="H114:H118" ca="1" si="44">IF(OR(D114="MDU",D114="MDU-KD"),(IF($O$3="RAB NON MDU","PLN KD",G114*F114)),0)</f>
        <v>0</v>
      </c>
      <c r="I114" s="358">
        <f t="shared" ref="I114:I118" ca="1" si="45">IF(D114="HDW",G114*F114,0)</f>
        <v>0</v>
      </c>
      <c r="J114" s="358">
        <f t="shared" ref="J114:J118" ca="1" si="46">IF(D114="JASA",G114*F114,0)</f>
        <v>0</v>
      </c>
      <c r="K114" s="359">
        <f t="shared" ref="K114:K118" ca="1" si="47">SUM(H114:J114)</f>
        <v>0</v>
      </c>
      <c r="L114" s="339"/>
      <c r="M114" s="339"/>
      <c r="N114" s="366"/>
      <c r="O114" s="341"/>
      <c r="P114" s="394"/>
      <c r="Q114" s="341"/>
    </row>
    <row r="115" spans="1:17" s="362" customFormat="1">
      <c r="A115" s="333"/>
      <c r="B115" s="490">
        <v>1</v>
      </c>
      <c r="C115" s="491" t="s">
        <v>30</v>
      </c>
      <c r="D115" s="355" t="str">
        <f ca="1">IF(ISERROR(OFFSET('HARGA SATUAN'!$D$6,MATCH(RAB!C115,'HARGA SATUAN'!$C$7:$C$1492,0),0)),"",OFFSET('HARGA SATUAN'!$D$6,MATCH(RAB!C115,'HARGA SATUAN'!$C$7:$C$1492,0),0))</f>
        <v>HDW</v>
      </c>
      <c r="E115" s="356" t="str">
        <f ca="1">IF(B115="+","Unit",IF(ISERROR(OFFSET('HARGA SATUAN'!$E$6,MATCH(RAB!C115,'HARGA SATUAN'!$C$7:$C$1492,0),0)),"",OFFSET('HARGA SATUAN'!$E$6,MATCH(RAB!C115,'HARGA SATUAN'!$C$7:$C$1492,0),0)))</f>
        <v>Bh</v>
      </c>
      <c r="F115" s="494">
        <f>F114*1</f>
        <v>2</v>
      </c>
      <c r="G115" s="357">
        <f ca="1">IF(ISERROR(OFFSET('HARGA SATUAN'!$I$6,MATCH(RAB!C115,'HARGA SATUAN'!$C$7:$C$1492,0),0)),0,OFFSET('HARGA SATUAN'!$I$6,MATCH(RAB!C115,'HARGA SATUAN'!$C$7:$C$1492,0),0))</f>
        <v>47459</v>
      </c>
      <c r="H115" s="358">
        <f t="shared" ca="1" si="44"/>
        <v>0</v>
      </c>
      <c r="I115" s="358">
        <f t="shared" ca="1" si="45"/>
        <v>94918</v>
      </c>
      <c r="J115" s="358">
        <f t="shared" ca="1" si="46"/>
        <v>0</v>
      </c>
      <c r="K115" s="359">
        <f t="shared" ca="1" si="47"/>
        <v>94918</v>
      </c>
      <c r="L115" s="339"/>
      <c r="M115" s="339"/>
      <c r="N115" s="366"/>
      <c r="O115" s="341"/>
      <c r="P115" s="394"/>
      <c r="Q115" s="341"/>
    </row>
    <row r="116" spans="1:17" s="362" customFormat="1">
      <c r="A116" s="333"/>
      <c r="B116" s="490">
        <v>2</v>
      </c>
      <c r="C116" s="491" t="s">
        <v>32</v>
      </c>
      <c r="D116" s="355" t="str">
        <f ca="1">IF(ISERROR(OFFSET('HARGA SATUAN'!$D$6,MATCH(RAB!C116,'HARGA SATUAN'!$C$7:$C$1492,0),0)),"",OFFSET('HARGA SATUAN'!$D$6,MATCH(RAB!C116,'HARGA SATUAN'!$C$7:$C$1492,0),0))</f>
        <v>HDW</v>
      </c>
      <c r="E116" s="356" t="str">
        <f ca="1">IF(B116="+","Unit",IF(ISERROR(OFFSET('HARGA SATUAN'!$E$6,MATCH(RAB!C116,'HARGA SATUAN'!$C$7:$C$1492,0),0)),"",OFFSET('HARGA SATUAN'!$E$6,MATCH(RAB!C116,'HARGA SATUAN'!$C$7:$C$1492,0),0)))</f>
        <v>Mtr</v>
      </c>
      <c r="F116" s="494">
        <f>F114*1</f>
        <v>2</v>
      </c>
      <c r="G116" s="357">
        <f ca="1">IF(ISERROR(OFFSET('HARGA SATUAN'!$I$6,MATCH(RAB!C116,'HARGA SATUAN'!$C$7:$C$1492,0),0)),0,OFFSET('HARGA SATUAN'!$I$6,MATCH(RAB!C116,'HARGA SATUAN'!$C$7:$C$1492,0),0))</f>
        <v>30000</v>
      </c>
      <c r="H116" s="358">
        <f t="shared" ca="1" si="44"/>
        <v>0</v>
      </c>
      <c r="I116" s="358">
        <f t="shared" ca="1" si="45"/>
        <v>60000</v>
      </c>
      <c r="J116" s="358">
        <f t="shared" ca="1" si="46"/>
        <v>0</v>
      </c>
      <c r="K116" s="359">
        <f t="shared" ca="1" si="47"/>
        <v>60000</v>
      </c>
      <c r="L116" s="339"/>
      <c r="M116" s="339"/>
      <c r="N116" s="366"/>
      <c r="O116" s="341"/>
      <c r="P116" s="394"/>
      <c r="Q116" s="341"/>
    </row>
    <row r="117" spans="1:17" s="362" customFormat="1">
      <c r="A117" s="333"/>
      <c r="B117" s="490">
        <v>3</v>
      </c>
      <c r="C117" s="491" t="s">
        <v>33</v>
      </c>
      <c r="D117" s="355" t="str">
        <f ca="1">IF(ISERROR(OFFSET('HARGA SATUAN'!$D$6,MATCH(RAB!C117,'HARGA SATUAN'!$C$7:$C$1492,0),0)),"",OFFSET('HARGA SATUAN'!$D$6,MATCH(RAB!C117,'HARGA SATUAN'!$C$7:$C$1492,0),0))</f>
        <v>HDW</v>
      </c>
      <c r="E117" s="356" t="str">
        <f ca="1">IF(B117="+","Unit",IF(ISERROR(OFFSET('HARGA SATUAN'!$E$6,MATCH(RAB!C117,'HARGA SATUAN'!$C$7:$C$1492,0),0)),"",OFFSET('HARGA SATUAN'!$E$6,MATCH(RAB!C117,'HARGA SATUAN'!$C$7:$C$1492,0),0)))</f>
        <v>Bh</v>
      </c>
      <c r="F117" s="494">
        <f>F114*1</f>
        <v>2</v>
      </c>
      <c r="G117" s="357">
        <f ca="1">IF(ISERROR(OFFSET('HARGA SATUAN'!$I$6,MATCH(RAB!C117,'HARGA SATUAN'!$C$7:$C$1492,0),0)),0,OFFSET('HARGA SATUAN'!$I$6,MATCH(RAB!C117,'HARGA SATUAN'!$C$7:$C$1492,0),0))</f>
        <v>9500</v>
      </c>
      <c r="H117" s="358">
        <f t="shared" ca="1" si="44"/>
        <v>0</v>
      </c>
      <c r="I117" s="358">
        <f t="shared" ca="1" si="45"/>
        <v>19000</v>
      </c>
      <c r="J117" s="358">
        <f t="shared" ca="1" si="46"/>
        <v>0</v>
      </c>
      <c r="K117" s="359">
        <f t="shared" ca="1" si="47"/>
        <v>19000</v>
      </c>
      <c r="L117" s="339"/>
      <c r="M117" s="339"/>
      <c r="N117" s="366"/>
      <c r="O117" s="341"/>
      <c r="P117" s="394"/>
      <c r="Q117" s="341"/>
    </row>
    <row r="118" spans="1:17" s="362" customFormat="1">
      <c r="A118" s="333"/>
      <c r="B118" s="490">
        <v>4</v>
      </c>
      <c r="C118" s="491" t="s">
        <v>738</v>
      </c>
      <c r="D118" s="355" t="str">
        <f ca="1">IF(ISERROR(OFFSET('HARGA SATUAN'!$D$6,MATCH(RAB!C118,'HARGA SATUAN'!$C$7:$C$1492,0),0)),"",OFFSET('HARGA SATUAN'!$D$6,MATCH(RAB!C118,'HARGA SATUAN'!$C$7:$C$1492,0),0))</f>
        <v>JASA</v>
      </c>
      <c r="E118" s="356" t="str">
        <f ca="1">IF(B118="+","Unit",IF(ISERROR(OFFSET('HARGA SATUAN'!$E$6,MATCH(RAB!C118,'HARGA SATUAN'!$C$7:$C$1492,0),0)),"",OFFSET('HARGA SATUAN'!$E$6,MATCH(RAB!C118,'HARGA SATUAN'!$C$7:$C$1492,0),0)))</f>
        <v>Unit</v>
      </c>
      <c r="F118" s="494">
        <f>F114*1</f>
        <v>2</v>
      </c>
      <c r="G118" s="357">
        <f ca="1">IF(ISERROR(OFFSET('HARGA SATUAN'!$I$6,MATCH(RAB!C118,'HARGA SATUAN'!$C$7:$C$1492,0),0)),0,OFFSET('HARGA SATUAN'!$I$6,MATCH(RAB!C118,'HARGA SATUAN'!$C$7:$C$1492,0),0))</f>
        <v>21200</v>
      </c>
      <c r="H118" s="358">
        <f t="shared" ca="1" si="44"/>
        <v>0</v>
      </c>
      <c r="I118" s="358">
        <f t="shared" ca="1" si="45"/>
        <v>0</v>
      </c>
      <c r="J118" s="358">
        <f t="shared" ca="1" si="46"/>
        <v>42400</v>
      </c>
      <c r="K118" s="359">
        <f t="shared" ca="1" si="47"/>
        <v>42400</v>
      </c>
      <c r="L118" s="339"/>
      <c r="M118" s="339"/>
      <c r="N118" s="366"/>
      <c r="O118" s="341"/>
      <c r="P118" s="394"/>
      <c r="Q118" s="341"/>
    </row>
    <row r="119" spans="1:17">
      <c r="B119" s="485"/>
      <c r="C119" s="489"/>
      <c r="D119" s="355" t="str">
        <f ca="1">IF(ISERROR(OFFSET('HARGA SATUAN'!$D$6,MATCH(RAB!C119,'HARGA SATUAN'!$C$7:$C$1492,0),0)),"",OFFSET('HARGA SATUAN'!$D$6,MATCH(RAB!C119,'HARGA SATUAN'!$C$7:$C$1492,0),0))</f>
        <v/>
      </c>
      <c r="E119" s="356" t="str">
        <f ca="1">IF(B119="+","Unit",IF(ISERROR(OFFSET('HARGA SATUAN'!$E$6,MATCH(RAB!C119,'HARGA SATUAN'!$C$7:$C$1492,0),0)),"",OFFSET('HARGA SATUAN'!$E$6,MATCH(RAB!C119,'HARGA SATUAN'!$C$7:$C$1492,0),0)))</f>
        <v/>
      </c>
      <c r="F119" s="495"/>
      <c r="G119" s="357">
        <f ca="1">IF(ISERROR(OFFSET('HARGA SATUAN'!$I$6,MATCH(RAB!C119,'HARGA SATUAN'!$C$7:$C$1492,0),0)),0,OFFSET('HARGA SATUAN'!$I$6,MATCH(RAB!C119,'HARGA SATUAN'!$C$7:$C$1492,0),0))</f>
        <v>0</v>
      </c>
      <c r="H119" s="358">
        <f t="shared" ref="H119" ca="1" si="48">IF(OR(D119="MDU",D119="MDU-KD"),(IF($O$3="RAB NON MDU","PLN KD",G119*F119)),0)</f>
        <v>0</v>
      </c>
      <c r="I119" s="358">
        <f t="shared" ref="I119" ca="1" si="49">IF(D119="HDW",G119*F119,0)</f>
        <v>0</v>
      </c>
      <c r="J119" s="358">
        <f t="shared" ref="J119" ca="1" si="50">IF(D119="JASA",G119*F119,0)</f>
        <v>0</v>
      </c>
      <c r="K119" s="359">
        <f t="shared" ref="K119" ca="1" si="51">SUM(H119:J119)</f>
        <v>0</v>
      </c>
    </row>
    <row r="120" spans="1:17">
      <c r="B120" s="487" t="s">
        <v>1035</v>
      </c>
      <c r="C120" s="504" t="s">
        <v>1636</v>
      </c>
      <c r="D120" s="355" t="str">
        <f ca="1">IF(ISERROR(OFFSET('HARGA SATUAN'!$D$6,MATCH(RAB!C120,'HARGA SATUAN'!$C$7:$C$1492,0),0)),"",OFFSET('HARGA SATUAN'!$D$6,MATCH(RAB!C120,'HARGA SATUAN'!$C$7:$C$1492,0),0))</f>
        <v/>
      </c>
      <c r="E120" s="356" t="str">
        <f ca="1">IF(B120="+","Unit",IF(ISERROR(OFFSET('HARGA SATUAN'!$E$6,MATCH(RAB!C120,'HARGA SATUAN'!$C$7:$C$1492,0),0)),"",OFFSET('HARGA SATUAN'!$E$6,MATCH(RAB!C120,'HARGA SATUAN'!$C$7:$C$1492,0),0)))</f>
        <v>Unit</v>
      </c>
      <c r="F120" s="495"/>
      <c r="G120" s="357">
        <f ca="1">IF(ISERROR(OFFSET('HARGA SATUAN'!$I$6,MATCH(RAB!C120,'HARGA SATUAN'!$C$7:$C$1492,0),0)),0,OFFSET('HARGA SATUAN'!$I$6,MATCH(RAB!C120,'HARGA SATUAN'!$C$7:$C$1492,0),0))</f>
        <v>0</v>
      </c>
      <c r="H120" s="358">
        <f t="shared" ref="H120:H124" ca="1" si="52">IF(OR(D120="MDU",D120="MDU-KD"),(IF($O$3="RAB NON MDU","PLN KD",G120*F120)),0)</f>
        <v>0</v>
      </c>
      <c r="I120" s="358">
        <f t="shared" ref="I120:I124" ca="1" si="53">IF(D120="HDW",G120*F120,0)</f>
        <v>0</v>
      </c>
      <c r="J120" s="358">
        <f t="shared" ref="J120:J124" ca="1" si="54">IF(D120="JASA",G120*F120,0)</f>
        <v>0</v>
      </c>
      <c r="K120" s="359">
        <f t="shared" ref="K120:K124" ca="1" si="55">SUM(H120:J120)</f>
        <v>0</v>
      </c>
    </row>
    <row r="121" spans="1:17">
      <c r="B121" s="485"/>
      <c r="C121" s="489"/>
      <c r="D121" s="355" t="str">
        <f ca="1">IF(ISERROR(OFFSET('HARGA SATUAN'!$D$6,MATCH(RAB!C121,'HARGA SATUAN'!$C$7:$C$1492,0),0)),"",OFFSET('HARGA SATUAN'!$D$6,MATCH(RAB!C121,'HARGA SATUAN'!$C$7:$C$1492,0),0))</f>
        <v/>
      </c>
      <c r="E121" s="356" t="str">
        <f ca="1">IF(B121="+","Unit",IF(ISERROR(OFFSET('HARGA SATUAN'!$E$6,MATCH(RAB!C121,'HARGA SATUAN'!$C$7:$C$1492,0),0)),"",OFFSET('HARGA SATUAN'!$E$6,MATCH(RAB!C121,'HARGA SATUAN'!$C$7:$C$1492,0),0)))</f>
        <v/>
      </c>
      <c r="F121" s="495"/>
      <c r="G121" s="357">
        <f ca="1">IF(ISERROR(OFFSET('HARGA SATUAN'!$I$6,MATCH(RAB!C121,'HARGA SATUAN'!$C$7:$C$1492,0),0)),0,OFFSET('HARGA SATUAN'!$I$6,MATCH(RAB!C121,'HARGA SATUAN'!$C$7:$C$1492,0),0))</f>
        <v>0</v>
      </c>
      <c r="H121" s="358">
        <f t="shared" ca="1" si="52"/>
        <v>0</v>
      </c>
      <c r="I121" s="358">
        <f t="shared" ca="1" si="53"/>
        <v>0</v>
      </c>
      <c r="J121" s="358">
        <f t="shared" ca="1" si="54"/>
        <v>0</v>
      </c>
      <c r="K121" s="359">
        <f t="shared" ca="1" si="55"/>
        <v>0</v>
      </c>
    </row>
    <row r="122" spans="1:17">
      <c r="B122" s="485">
        <v>1</v>
      </c>
      <c r="C122" s="109" t="s">
        <v>65</v>
      </c>
      <c r="D122" s="355" t="str">
        <f ca="1">IF(ISERROR(OFFSET('HARGA SATUAN'!$D$6,MATCH(RAB!C122,'HARGA SATUAN'!$C$7:$C$1492,0),0)),"",OFFSET('HARGA SATUAN'!$D$6,MATCH(RAB!C122,'HARGA SATUAN'!$C$7:$C$1492,0),0))</f>
        <v>MDU-KD</v>
      </c>
      <c r="E122" s="356" t="str">
        <f ca="1">IF(B122="+","Unit",IF(ISERROR(OFFSET('HARGA SATUAN'!$E$6,MATCH(RAB!C122,'HARGA SATUAN'!$C$7:$C$1492,0),0)),"",OFFSET('HARGA SATUAN'!$E$6,MATCH(RAB!C122,'HARGA SATUAN'!$C$7:$C$1492,0),0)))</f>
        <v>Mtr</v>
      </c>
      <c r="F122" s="495">
        <f>(300*4)+((300*4)*5%)</f>
        <v>1260</v>
      </c>
      <c r="G122" s="357">
        <f ca="1">IF(ISERROR(OFFSET('HARGA SATUAN'!$I$6,MATCH(RAB!C122,'HARGA SATUAN'!$C$7:$C$1492,0),0)),0,OFFSET('HARGA SATUAN'!$I$6,MATCH(RAB!C122,'HARGA SATUAN'!$C$7:$C$1492,0),0))</f>
        <v>14200</v>
      </c>
      <c r="H122" s="358">
        <f t="shared" ca="1" si="52"/>
        <v>17892000</v>
      </c>
      <c r="I122" s="358">
        <f t="shared" ca="1" si="53"/>
        <v>0</v>
      </c>
      <c r="J122" s="358">
        <f t="shared" ca="1" si="54"/>
        <v>0</v>
      </c>
      <c r="K122" s="359">
        <f t="shared" ca="1" si="55"/>
        <v>17892000</v>
      </c>
    </row>
    <row r="123" spans="1:17">
      <c r="B123" s="485">
        <v>2</v>
      </c>
      <c r="C123" s="109" t="s">
        <v>315</v>
      </c>
      <c r="D123" s="355" t="str">
        <f ca="1">IF(ISERROR(OFFSET('HARGA SATUAN'!$D$6,MATCH(RAB!C123,'HARGA SATUAN'!$C$7:$C$1492,0),0)),"",OFFSET('HARGA SATUAN'!$D$6,MATCH(RAB!C123,'HARGA SATUAN'!$C$7:$C$1492,0),0))</f>
        <v>JASA</v>
      </c>
      <c r="E123" s="356" t="str">
        <f ca="1">IF(B123="+","Unit",IF(ISERROR(OFFSET('HARGA SATUAN'!$E$6,MATCH(RAB!C123,'HARGA SATUAN'!$C$7:$C$1492,0),0)),"",OFFSET('HARGA SATUAN'!$E$6,MATCH(RAB!C123,'HARGA SATUAN'!$C$7:$C$1492,0),0)))</f>
        <v>Per 50 m</v>
      </c>
      <c r="F123" s="495">
        <f>F122/200</f>
        <v>6.3</v>
      </c>
      <c r="G123" s="357">
        <f ca="1">IF(ISERROR(OFFSET('HARGA SATUAN'!$I$6,MATCH(RAB!C123,'HARGA SATUAN'!$C$7:$C$1492,0),0)),0,OFFSET('HARGA SATUAN'!$I$6,MATCH(RAB!C123,'HARGA SATUAN'!$C$7:$C$1492,0),0))</f>
        <v>261600</v>
      </c>
      <c r="H123" s="358">
        <f t="shared" ca="1" si="52"/>
        <v>0</v>
      </c>
      <c r="I123" s="358">
        <f t="shared" ca="1" si="53"/>
        <v>0</v>
      </c>
      <c r="J123" s="358">
        <f t="shared" ca="1" si="54"/>
        <v>1648080</v>
      </c>
      <c r="K123" s="359">
        <f t="shared" ca="1" si="55"/>
        <v>1648080</v>
      </c>
    </row>
    <row r="124" spans="1:17">
      <c r="B124" s="485"/>
      <c r="C124" s="489"/>
      <c r="D124" s="355" t="str">
        <f ca="1">IF(ISERROR(OFFSET('HARGA SATUAN'!$D$6,MATCH(RAB!C124,'HARGA SATUAN'!$C$7:$C$1492,0),0)),"",OFFSET('HARGA SATUAN'!$D$6,MATCH(RAB!C124,'HARGA SATUAN'!$C$7:$C$1492,0),0))</f>
        <v/>
      </c>
      <c r="E124" s="356" t="str">
        <f ca="1">IF(B124="+","Unit",IF(ISERROR(OFFSET('HARGA SATUAN'!$E$6,MATCH(RAB!C124,'HARGA SATUAN'!$C$7:$C$1492,0),0)),"",OFFSET('HARGA SATUAN'!$E$6,MATCH(RAB!C124,'HARGA SATUAN'!$C$7:$C$1492,0),0)))</f>
        <v/>
      </c>
      <c r="F124" s="495"/>
      <c r="G124" s="357">
        <f ca="1">IF(ISERROR(OFFSET('HARGA SATUAN'!$I$6,MATCH(RAB!C124,'HARGA SATUAN'!$C$7:$C$1492,0),0)),0,OFFSET('HARGA SATUAN'!$I$6,MATCH(RAB!C124,'HARGA SATUAN'!$C$7:$C$1492,0),0))</f>
        <v>0</v>
      </c>
      <c r="H124" s="358">
        <f t="shared" ca="1" si="52"/>
        <v>0</v>
      </c>
      <c r="I124" s="358">
        <f t="shared" ca="1" si="53"/>
        <v>0</v>
      </c>
      <c r="J124" s="358">
        <f t="shared" ca="1" si="54"/>
        <v>0</v>
      </c>
      <c r="K124" s="359">
        <f t="shared" ca="1" si="55"/>
        <v>0</v>
      </c>
    </row>
    <row r="125" spans="1:17">
      <c r="B125" s="363" t="s">
        <v>1608</v>
      </c>
      <c r="C125" s="364" t="s">
        <v>1647</v>
      </c>
      <c r="D125" s="355" t="str">
        <f ca="1">IF(ISERROR(OFFSET('HARGA SATUAN'!$D$6,MATCH(RAB!C125,'HARGA SATUAN'!$C$7:$C$1492,0),0)),"",OFFSET('HARGA SATUAN'!$D$6,MATCH(RAB!C125,'HARGA SATUAN'!$C$7:$C$1492,0),0))</f>
        <v/>
      </c>
      <c r="E125" s="356" t="str">
        <f ca="1">IF(B125="+","Unit",IF(ISERROR(OFFSET('HARGA SATUAN'!$E$6,MATCH(RAB!C125,'HARGA SATUAN'!$C$7:$C$1492,0),0)),"",OFFSET('HARGA SATUAN'!$E$6,MATCH(RAB!C125,'HARGA SATUAN'!$C$7:$C$1492,0),0)))</f>
        <v/>
      </c>
      <c r="F125" s="495"/>
      <c r="G125" s="357">
        <f ca="1">IF(ISERROR(OFFSET('HARGA SATUAN'!$I$6,MATCH(RAB!C125,'HARGA SATUAN'!$C$7:$C$1492,0),0)),0,OFFSET('HARGA SATUAN'!$I$6,MATCH(RAB!C125,'HARGA SATUAN'!$C$7:$C$1492,0),0))</f>
        <v>0</v>
      </c>
      <c r="H125" s="358">
        <f t="shared" ref="H125:H154" ca="1" si="56">IF(OR(D125="MDU",D125="MDU-KD"),(IF($O$3="RAB NON MDU","PLN KD",G125*F125)),0)</f>
        <v>0</v>
      </c>
      <c r="I125" s="358">
        <f t="shared" ref="I125:I154" ca="1" si="57">IF(D125="HDW",G125*F125,0)</f>
        <v>0</v>
      </c>
      <c r="J125" s="358">
        <f t="shared" ref="J125:J154" ca="1" si="58">IF(D125="JASA",G125*F125,0)</f>
        <v>0</v>
      </c>
      <c r="K125" s="359">
        <f t="shared" ref="K125:K154" ca="1" si="59">SUM(H125:J125)</f>
        <v>0</v>
      </c>
    </row>
    <row r="126" spans="1:17">
      <c r="B126" s="485"/>
      <c r="C126" s="489"/>
      <c r="D126" s="355" t="str">
        <f ca="1">IF(ISERROR(OFFSET('HARGA SATUAN'!$D$6,MATCH(RAB!C126,'HARGA SATUAN'!$C$7:$C$1492,0),0)),"",OFFSET('HARGA SATUAN'!$D$6,MATCH(RAB!C126,'HARGA SATUAN'!$C$7:$C$1492,0),0))</f>
        <v/>
      </c>
      <c r="E126" s="356" t="str">
        <f ca="1">IF(B126="+","Unit",IF(ISERROR(OFFSET('HARGA SATUAN'!$E$6,MATCH(RAB!C126,'HARGA SATUAN'!$C$7:$C$1492,0),0)),"",OFFSET('HARGA SATUAN'!$E$6,MATCH(RAB!C126,'HARGA SATUAN'!$C$7:$C$1492,0),0)))</f>
        <v/>
      </c>
      <c r="F126" s="495"/>
      <c r="G126" s="357">
        <f ca="1">IF(ISERROR(OFFSET('HARGA SATUAN'!$I$6,MATCH(RAB!C126,'HARGA SATUAN'!$C$7:$C$1492,0),0)),0,OFFSET('HARGA SATUAN'!$I$6,MATCH(RAB!C126,'HARGA SATUAN'!$C$7:$C$1492,0),0))</f>
        <v>0</v>
      </c>
      <c r="H126" s="358">
        <f t="shared" ca="1" si="56"/>
        <v>0</v>
      </c>
      <c r="I126" s="358">
        <f t="shared" ca="1" si="57"/>
        <v>0</v>
      </c>
      <c r="J126" s="358">
        <f t="shared" ca="1" si="58"/>
        <v>0</v>
      </c>
      <c r="K126" s="359">
        <f t="shared" ca="1" si="59"/>
        <v>0</v>
      </c>
    </row>
    <row r="127" spans="1:17">
      <c r="B127" s="531" t="s">
        <v>1035</v>
      </c>
      <c r="C127" s="532" t="s">
        <v>1641</v>
      </c>
      <c r="D127" s="355" t="str">
        <f ca="1">IF(ISERROR(OFFSET('HARGA SATUAN'!$D$6,MATCH(RAB!C127,'HARGA SATUAN'!$C$7:$C$1492,0),0)),"",OFFSET('HARGA SATUAN'!$D$6,MATCH(RAB!C127,'HARGA SATUAN'!$C$7:$C$1492,0),0))</f>
        <v/>
      </c>
      <c r="E127" s="356" t="str">
        <f ca="1">IF(B127="+","Unit",IF(ISERROR(OFFSET('HARGA SATUAN'!$E$6,MATCH(RAB!C127,'HARGA SATUAN'!$C$7:$C$1492,0),0)),"",OFFSET('HARGA SATUAN'!$E$6,MATCH(RAB!C127,'HARGA SATUAN'!$C$7:$C$1492,0),0)))</f>
        <v>Unit</v>
      </c>
      <c r="F127" s="494">
        <v>1</v>
      </c>
      <c r="G127" s="357">
        <f ca="1">IF(ISERROR(OFFSET('HARGA SATUAN'!$I$6,MATCH(RAB!C127,'HARGA SATUAN'!$C$7:$C$1492,0),0)),0,OFFSET('HARGA SATUAN'!$I$6,MATCH(RAB!C127,'HARGA SATUAN'!$C$7:$C$1492,0),0))</f>
        <v>0</v>
      </c>
      <c r="H127" s="358">
        <f t="shared" ca="1" si="56"/>
        <v>0</v>
      </c>
      <c r="I127" s="358">
        <f t="shared" ca="1" si="57"/>
        <v>0</v>
      </c>
      <c r="J127" s="358">
        <f t="shared" ca="1" si="58"/>
        <v>0</v>
      </c>
      <c r="K127" s="359">
        <f t="shared" ca="1" si="59"/>
        <v>0</v>
      </c>
    </row>
    <row r="128" spans="1:17">
      <c r="B128" s="531">
        <v>1</v>
      </c>
      <c r="C128" s="532" t="s">
        <v>229</v>
      </c>
      <c r="D128" s="355" t="str">
        <f ca="1">IF(ISERROR(OFFSET('HARGA SATUAN'!$D$6,MATCH(RAB!C128,'HARGA SATUAN'!$C$7:$C$1492,0),0)),"",OFFSET('HARGA SATUAN'!$D$6,MATCH(RAB!C128,'HARGA SATUAN'!$C$7:$C$1492,0),0))</f>
        <v>HDW</v>
      </c>
      <c r="E128" s="356" t="str">
        <f ca="1">IF(B128="+","Unit",IF(ISERROR(OFFSET('HARGA SATUAN'!$E$6,MATCH(RAB!C128,'HARGA SATUAN'!$C$7:$C$1492,0),0)),"",OFFSET('HARGA SATUAN'!$E$6,MATCH(RAB!C128,'HARGA SATUAN'!$C$7:$C$1492,0),0)))</f>
        <v>Bh</v>
      </c>
      <c r="F128" s="494">
        <f>F127*1</f>
        <v>1</v>
      </c>
      <c r="G128" s="357">
        <f ca="1">IF(ISERROR(OFFSET('HARGA SATUAN'!$I$6,MATCH(RAB!C128,'HARGA SATUAN'!$C$7:$C$1492,0),0)),0,OFFSET('HARGA SATUAN'!$I$6,MATCH(RAB!C128,'HARGA SATUAN'!$C$7:$C$1492,0),0))</f>
        <v>4212</v>
      </c>
      <c r="H128" s="358">
        <f t="shared" ca="1" si="56"/>
        <v>0</v>
      </c>
      <c r="I128" s="358">
        <f t="shared" ca="1" si="57"/>
        <v>4212</v>
      </c>
      <c r="J128" s="358">
        <f t="shared" ca="1" si="58"/>
        <v>0</v>
      </c>
      <c r="K128" s="359">
        <f t="shared" ca="1" si="59"/>
        <v>4212</v>
      </c>
    </row>
    <row r="129" spans="2:11">
      <c r="B129" s="531">
        <v>2</v>
      </c>
      <c r="C129" s="532" t="s">
        <v>266</v>
      </c>
      <c r="D129" s="355" t="str">
        <f ca="1">IF(ISERROR(OFFSET('HARGA SATUAN'!$D$6,MATCH(RAB!C129,'HARGA SATUAN'!$C$7:$C$1492,0),0)),"",OFFSET('HARGA SATUAN'!$D$6,MATCH(RAB!C129,'HARGA SATUAN'!$C$7:$C$1492,0),0))</f>
        <v>HDW</v>
      </c>
      <c r="E129" s="356" t="str">
        <f ca="1">IF(B129="+","Unit",IF(ISERROR(OFFSET('HARGA SATUAN'!$E$6,MATCH(RAB!C129,'HARGA SATUAN'!$C$7:$C$1492,0),0)),"",OFFSET('HARGA SATUAN'!$E$6,MATCH(RAB!C129,'HARGA SATUAN'!$C$7:$C$1492,0),0)))</f>
        <v>Mtr</v>
      </c>
      <c r="F129" s="494">
        <f>F127*1</f>
        <v>1</v>
      </c>
      <c r="G129" s="357">
        <f ca="1">IF(ISERROR(OFFSET('HARGA SATUAN'!$I$6,MATCH(RAB!C129,'HARGA SATUAN'!$C$7:$C$1492,0),0)),0,OFFSET('HARGA SATUAN'!$I$6,MATCH(RAB!C129,'HARGA SATUAN'!$C$7:$C$1492,0),0))</f>
        <v>23310</v>
      </c>
      <c r="H129" s="358">
        <f t="shared" ca="1" si="56"/>
        <v>0</v>
      </c>
      <c r="I129" s="358">
        <f t="shared" ca="1" si="57"/>
        <v>23310</v>
      </c>
      <c r="J129" s="358">
        <f t="shared" ca="1" si="58"/>
        <v>0</v>
      </c>
      <c r="K129" s="359">
        <f t="shared" ca="1" si="59"/>
        <v>23310</v>
      </c>
    </row>
    <row r="130" spans="2:11">
      <c r="B130" s="531">
        <v>3</v>
      </c>
      <c r="C130" s="532" t="s">
        <v>35</v>
      </c>
      <c r="D130" s="355" t="str">
        <f ca="1">IF(ISERROR(OFFSET('HARGA SATUAN'!$D$6,MATCH(RAB!C130,'HARGA SATUAN'!$C$7:$C$1492,0),0)),"",OFFSET('HARGA SATUAN'!$D$6,MATCH(RAB!C130,'HARGA SATUAN'!$C$7:$C$1492,0),0))</f>
        <v>HDW</v>
      </c>
      <c r="E130" s="356" t="str">
        <f ca="1">IF(B130="+","Unit",IF(ISERROR(OFFSET('HARGA SATUAN'!$E$6,MATCH(RAB!C130,'HARGA SATUAN'!$C$7:$C$1492,0),0)),"",OFFSET('HARGA SATUAN'!$E$6,MATCH(RAB!C130,'HARGA SATUAN'!$C$7:$C$1492,0),0)))</f>
        <v>Bh</v>
      </c>
      <c r="F130" s="494">
        <f>F127*1</f>
        <v>1</v>
      </c>
      <c r="G130" s="357">
        <f ca="1">IF(ISERROR(OFFSET('HARGA SATUAN'!$I$6,MATCH(RAB!C130,'HARGA SATUAN'!$C$7:$C$1492,0),0)),0,OFFSET('HARGA SATUAN'!$I$6,MATCH(RAB!C130,'HARGA SATUAN'!$C$7:$C$1492,0),0))</f>
        <v>2300</v>
      </c>
      <c r="H130" s="358">
        <f t="shared" ca="1" si="56"/>
        <v>0</v>
      </c>
      <c r="I130" s="358">
        <f t="shared" ca="1" si="57"/>
        <v>2300</v>
      </c>
      <c r="J130" s="358">
        <f t="shared" ca="1" si="58"/>
        <v>0</v>
      </c>
      <c r="K130" s="359">
        <f t="shared" ca="1" si="59"/>
        <v>2300</v>
      </c>
    </row>
    <row r="131" spans="2:11">
      <c r="B131" s="531">
        <v>4</v>
      </c>
      <c r="C131" s="532" t="s">
        <v>609</v>
      </c>
      <c r="D131" s="355" t="str">
        <f ca="1">IF(ISERROR(OFFSET('HARGA SATUAN'!$D$6,MATCH(RAB!C131,'HARGA SATUAN'!$C$7:$C$1492,0),0)),"",OFFSET('HARGA SATUAN'!$D$6,MATCH(RAB!C131,'HARGA SATUAN'!$C$7:$C$1492,0),0))</f>
        <v>HDW</v>
      </c>
      <c r="E131" s="356" t="str">
        <f ca="1">IF(B131="+","Unit",IF(ISERROR(OFFSET('HARGA SATUAN'!$E$6,MATCH(RAB!C131,'HARGA SATUAN'!$C$7:$C$1492,0),0)),"",OFFSET('HARGA SATUAN'!$E$6,MATCH(RAB!C131,'HARGA SATUAN'!$C$7:$C$1492,0),0)))</f>
        <v>Bh</v>
      </c>
      <c r="F131" s="494">
        <f>F127*1</f>
        <v>1</v>
      </c>
      <c r="G131" s="357">
        <f ca="1">IF(ISERROR(OFFSET('HARGA SATUAN'!$I$6,MATCH(RAB!C131,'HARGA SATUAN'!$C$7:$C$1492,0),0)),0,OFFSET('HARGA SATUAN'!$I$6,MATCH(RAB!C131,'HARGA SATUAN'!$C$7:$C$1492,0),0))</f>
        <v>71000</v>
      </c>
      <c r="H131" s="358">
        <f t="shared" ca="1" si="56"/>
        <v>0</v>
      </c>
      <c r="I131" s="358">
        <f t="shared" ca="1" si="57"/>
        <v>71000</v>
      </c>
      <c r="J131" s="358">
        <f t="shared" ca="1" si="58"/>
        <v>0</v>
      </c>
      <c r="K131" s="359">
        <f t="shared" ca="1" si="59"/>
        <v>71000</v>
      </c>
    </row>
    <row r="132" spans="2:11">
      <c r="B132" s="531">
        <v>5</v>
      </c>
      <c r="C132" s="532" t="s">
        <v>629</v>
      </c>
      <c r="D132" s="355" t="str">
        <f ca="1">IF(ISERROR(OFFSET('HARGA SATUAN'!$D$6,MATCH(RAB!C132,'HARGA SATUAN'!$C$7:$C$1492,0),0)),"",OFFSET('HARGA SATUAN'!$D$6,MATCH(RAB!C132,'HARGA SATUAN'!$C$7:$C$1492,0),0))</f>
        <v>JASA</v>
      </c>
      <c r="E132" s="356" t="str">
        <f ca="1">IF(B132="+","Unit",IF(ISERROR(OFFSET('HARGA SATUAN'!$E$6,MATCH(RAB!C132,'HARGA SATUAN'!$C$7:$C$1492,0),0)),"",OFFSET('HARGA SATUAN'!$E$6,MATCH(RAB!C132,'HARGA SATUAN'!$C$7:$C$1492,0),0)))</f>
        <v>Unit</v>
      </c>
      <c r="F132" s="494">
        <f>F127*1</f>
        <v>1</v>
      </c>
      <c r="G132" s="357">
        <f ca="1">IF(ISERROR(OFFSET('HARGA SATUAN'!$I$6,MATCH(RAB!C132,'HARGA SATUAN'!$C$7:$C$1492,0),0)),0,OFFSET('HARGA SATUAN'!$I$6,MATCH(RAB!C132,'HARGA SATUAN'!$C$7:$C$1492,0),0))</f>
        <v>29400</v>
      </c>
      <c r="H132" s="358">
        <f t="shared" ca="1" si="56"/>
        <v>0</v>
      </c>
      <c r="I132" s="358">
        <f t="shared" ca="1" si="57"/>
        <v>0</v>
      </c>
      <c r="J132" s="358">
        <f t="shared" ca="1" si="58"/>
        <v>29400</v>
      </c>
      <c r="K132" s="359">
        <f t="shared" ca="1" si="59"/>
        <v>29400</v>
      </c>
    </row>
    <row r="133" spans="2:11">
      <c r="B133" s="531"/>
      <c r="C133" s="532"/>
      <c r="D133" s="355" t="str">
        <f ca="1">IF(ISERROR(OFFSET('HARGA SATUAN'!$D$6,MATCH(RAB!C133,'HARGA SATUAN'!$C$7:$C$1492,0),0)),"",OFFSET('HARGA SATUAN'!$D$6,MATCH(RAB!C133,'HARGA SATUAN'!$C$7:$C$1492,0),0))</f>
        <v/>
      </c>
      <c r="E133" s="356" t="str">
        <f ca="1">IF(B133="+","Unit",IF(ISERROR(OFFSET('HARGA SATUAN'!$E$6,MATCH(RAB!C133,'HARGA SATUAN'!$C$7:$C$1492,0),0)),"",OFFSET('HARGA SATUAN'!$E$6,MATCH(RAB!C133,'HARGA SATUAN'!$C$7:$C$1492,0),0)))</f>
        <v/>
      </c>
      <c r="F133" s="494"/>
      <c r="G133" s="357">
        <f ca="1">IF(ISERROR(OFFSET('HARGA SATUAN'!$I$6,MATCH(RAB!C133,'HARGA SATUAN'!$C$7:$C$1492,0),0)),0,OFFSET('HARGA SATUAN'!$I$6,MATCH(RAB!C133,'HARGA SATUAN'!$C$7:$C$1492,0),0))</f>
        <v>0</v>
      </c>
      <c r="H133" s="358">
        <f t="shared" ca="1" si="56"/>
        <v>0</v>
      </c>
      <c r="I133" s="358">
        <f t="shared" ca="1" si="57"/>
        <v>0</v>
      </c>
      <c r="J133" s="358">
        <f t="shared" ca="1" si="58"/>
        <v>0</v>
      </c>
      <c r="K133" s="359">
        <f t="shared" ca="1" si="59"/>
        <v>0</v>
      </c>
    </row>
    <row r="134" spans="2:11">
      <c r="B134" s="531" t="s">
        <v>1035</v>
      </c>
      <c r="C134" s="532" t="s">
        <v>1633</v>
      </c>
      <c r="D134" s="355" t="str">
        <f ca="1">IF(ISERROR(OFFSET('HARGA SATUAN'!$D$6,MATCH(RAB!C134,'HARGA SATUAN'!$C$7:$C$1492,0),0)),"",OFFSET('HARGA SATUAN'!$D$6,MATCH(RAB!C134,'HARGA SATUAN'!$C$7:$C$1492,0),0))</f>
        <v/>
      </c>
      <c r="E134" s="356" t="str">
        <f ca="1">IF(B134="+","Unit",IF(ISERROR(OFFSET('HARGA SATUAN'!$E$6,MATCH(RAB!C134,'HARGA SATUAN'!$C$7:$C$1492,0),0)),"",OFFSET('HARGA SATUAN'!$E$6,MATCH(RAB!C134,'HARGA SATUAN'!$C$7:$C$1492,0),0)))</f>
        <v>Unit</v>
      </c>
      <c r="F134" s="494">
        <v>2</v>
      </c>
      <c r="G134" s="357">
        <f ca="1">IF(ISERROR(OFFSET('HARGA SATUAN'!$I$6,MATCH(RAB!C134,'HARGA SATUAN'!$C$7:$C$1492,0),0)),0,OFFSET('HARGA SATUAN'!$I$6,MATCH(RAB!C134,'HARGA SATUAN'!$C$7:$C$1492,0),0))</f>
        <v>0</v>
      </c>
      <c r="H134" s="358">
        <f t="shared" ca="1" si="56"/>
        <v>0</v>
      </c>
      <c r="I134" s="358">
        <f t="shared" ca="1" si="57"/>
        <v>0</v>
      </c>
      <c r="J134" s="358">
        <f t="shared" ca="1" si="58"/>
        <v>0</v>
      </c>
      <c r="K134" s="359">
        <f t="shared" ca="1" si="59"/>
        <v>0</v>
      </c>
    </row>
    <row r="135" spans="2:11">
      <c r="B135" s="531">
        <v>1</v>
      </c>
      <c r="C135" s="532" t="s">
        <v>595</v>
      </c>
      <c r="D135" s="355" t="str">
        <f ca="1">IF(ISERROR(OFFSET('HARGA SATUAN'!$D$6,MATCH(RAB!C135,'HARGA SATUAN'!$C$7:$C$1492,0),0)),"",OFFSET('HARGA SATUAN'!$D$6,MATCH(RAB!C135,'HARGA SATUAN'!$C$7:$C$1492,0),0))</f>
        <v>HDW</v>
      </c>
      <c r="E135" s="356" t="str">
        <f ca="1">IF(B135="+","Unit",IF(ISERROR(OFFSET('HARGA SATUAN'!$E$6,MATCH(RAB!C135,'HARGA SATUAN'!$C$7:$C$1492,0),0)),"",OFFSET('HARGA SATUAN'!$E$6,MATCH(RAB!C135,'HARGA SATUAN'!$C$7:$C$1492,0),0)))</f>
        <v>Bh</v>
      </c>
      <c r="F135" s="494">
        <f>F134*1</f>
        <v>2</v>
      </c>
      <c r="G135" s="357">
        <f ca="1">IF(ISERROR(OFFSET('HARGA SATUAN'!$I$6,MATCH(RAB!C135,'HARGA SATUAN'!$C$7:$C$1492,0),0)),0,OFFSET('HARGA SATUAN'!$I$6,MATCH(RAB!C135,'HARGA SATUAN'!$C$7:$C$1492,0),0))</f>
        <v>78500</v>
      </c>
      <c r="H135" s="358">
        <f t="shared" ca="1" si="56"/>
        <v>0</v>
      </c>
      <c r="I135" s="358">
        <f t="shared" ca="1" si="57"/>
        <v>157000</v>
      </c>
      <c r="J135" s="358">
        <f t="shared" ca="1" si="58"/>
        <v>0</v>
      </c>
      <c r="K135" s="359">
        <f t="shared" ca="1" si="59"/>
        <v>157000</v>
      </c>
    </row>
    <row r="136" spans="2:11">
      <c r="B136" s="531">
        <v>2</v>
      </c>
      <c r="C136" s="532" t="s">
        <v>229</v>
      </c>
      <c r="D136" s="355" t="str">
        <f ca="1">IF(ISERROR(OFFSET('HARGA SATUAN'!$D$6,MATCH(RAB!C136,'HARGA SATUAN'!$C$7:$C$1492,0),0)),"",OFFSET('HARGA SATUAN'!$D$6,MATCH(RAB!C136,'HARGA SATUAN'!$C$7:$C$1492,0),0))</f>
        <v>HDW</v>
      </c>
      <c r="E136" s="356" t="str">
        <f ca="1">IF(B136="+","Unit",IF(ISERROR(OFFSET('HARGA SATUAN'!$E$6,MATCH(RAB!C136,'HARGA SATUAN'!$C$7:$C$1492,0),0)),"",OFFSET('HARGA SATUAN'!$E$6,MATCH(RAB!C136,'HARGA SATUAN'!$C$7:$C$1492,0),0)))</f>
        <v>Bh</v>
      </c>
      <c r="F136" s="494">
        <f>F134*1</f>
        <v>2</v>
      </c>
      <c r="G136" s="357">
        <f ca="1">IF(ISERROR(OFFSET('HARGA SATUAN'!$I$6,MATCH(RAB!C136,'HARGA SATUAN'!$C$7:$C$1492,0),0)),0,OFFSET('HARGA SATUAN'!$I$6,MATCH(RAB!C136,'HARGA SATUAN'!$C$7:$C$1492,0),0))</f>
        <v>4212</v>
      </c>
      <c r="H136" s="358">
        <f t="shared" ca="1" si="56"/>
        <v>0</v>
      </c>
      <c r="I136" s="358">
        <f t="shared" ca="1" si="57"/>
        <v>8424</v>
      </c>
      <c r="J136" s="358">
        <f t="shared" ca="1" si="58"/>
        <v>0</v>
      </c>
      <c r="K136" s="359">
        <f t="shared" ca="1" si="59"/>
        <v>8424</v>
      </c>
    </row>
    <row r="137" spans="2:11">
      <c r="B137" s="531">
        <v>3</v>
      </c>
      <c r="C137" s="532" t="s">
        <v>266</v>
      </c>
      <c r="D137" s="355" t="str">
        <f ca="1">IF(ISERROR(OFFSET('HARGA SATUAN'!$D$6,MATCH(RAB!C137,'HARGA SATUAN'!$C$7:$C$1492,0),0)),"",OFFSET('HARGA SATUAN'!$D$6,MATCH(RAB!C137,'HARGA SATUAN'!$C$7:$C$1492,0),0))</f>
        <v>HDW</v>
      </c>
      <c r="E137" s="356" t="str">
        <f ca="1">IF(B137="+","Unit",IF(ISERROR(OFFSET('HARGA SATUAN'!$E$6,MATCH(RAB!C137,'HARGA SATUAN'!$C$7:$C$1492,0),0)),"",OFFSET('HARGA SATUAN'!$E$6,MATCH(RAB!C137,'HARGA SATUAN'!$C$7:$C$1492,0),0)))</f>
        <v>Mtr</v>
      </c>
      <c r="F137" s="494">
        <f>F134*1</f>
        <v>2</v>
      </c>
      <c r="G137" s="357">
        <f ca="1">IF(ISERROR(OFFSET('HARGA SATUAN'!$I$6,MATCH(RAB!C137,'HARGA SATUAN'!$C$7:$C$1492,0),0)),0,OFFSET('HARGA SATUAN'!$I$6,MATCH(RAB!C137,'HARGA SATUAN'!$C$7:$C$1492,0),0))</f>
        <v>23310</v>
      </c>
      <c r="H137" s="358">
        <f t="shared" ca="1" si="56"/>
        <v>0</v>
      </c>
      <c r="I137" s="358">
        <f t="shared" ca="1" si="57"/>
        <v>46620</v>
      </c>
      <c r="J137" s="358">
        <f t="shared" ca="1" si="58"/>
        <v>0</v>
      </c>
      <c r="K137" s="359">
        <f t="shared" ca="1" si="59"/>
        <v>46620</v>
      </c>
    </row>
    <row r="138" spans="2:11">
      <c r="B138" s="531">
        <v>4</v>
      </c>
      <c r="C138" s="532" t="s">
        <v>35</v>
      </c>
      <c r="D138" s="355" t="str">
        <f ca="1">IF(ISERROR(OFFSET('HARGA SATUAN'!$D$6,MATCH(RAB!C138,'HARGA SATUAN'!$C$7:$C$1492,0),0)),"",OFFSET('HARGA SATUAN'!$D$6,MATCH(RAB!C138,'HARGA SATUAN'!$C$7:$C$1492,0),0))</f>
        <v>HDW</v>
      </c>
      <c r="E138" s="356" t="str">
        <f ca="1">IF(B138="+","Unit",IF(ISERROR(OFFSET('HARGA SATUAN'!$E$6,MATCH(RAB!C138,'HARGA SATUAN'!$C$7:$C$1492,0),0)),"",OFFSET('HARGA SATUAN'!$E$6,MATCH(RAB!C138,'HARGA SATUAN'!$C$7:$C$1492,0),0)))</f>
        <v>Bh</v>
      </c>
      <c r="F138" s="494">
        <f>F134*1</f>
        <v>2</v>
      </c>
      <c r="G138" s="357">
        <f ca="1">IF(ISERROR(OFFSET('HARGA SATUAN'!$I$6,MATCH(RAB!C138,'HARGA SATUAN'!$C$7:$C$1492,0),0)),0,OFFSET('HARGA SATUAN'!$I$6,MATCH(RAB!C138,'HARGA SATUAN'!$C$7:$C$1492,0),0))</f>
        <v>2300</v>
      </c>
      <c r="H138" s="358">
        <f t="shared" ca="1" si="56"/>
        <v>0</v>
      </c>
      <c r="I138" s="358">
        <f t="shared" ca="1" si="57"/>
        <v>4600</v>
      </c>
      <c r="J138" s="358">
        <f t="shared" ca="1" si="58"/>
        <v>0</v>
      </c>
      <c r="K138" s="359">
        <f t="shared" ca="1" si="59"/>
        <v>4600</v>
      </c>
    </row>
    <row r="139" spans="2:11">
      <c r="B139" s="531">
        <v>5</v>
      </c>
      <c r="C139" s="532" t="s">
        <v>630</v>
      </c>
      <c r="D139" s="355" t="str">
        <f ca="1">IF(ISERROR(OFFSET('HARGA SATUAN'!$D$6,MATCH(RAB!C139,'HARGA SATUAN'!$C$7:$C$1492,0),0)),"",OFFSET('HARGA SATUAN'!$D$6,MATCH(RAB!C139,'HARGA SATUAN'!$C$7:$C$1492,0),0))</f>
        <v>JASA</v>
      </c>
      <c r="E139" s="356" t="str">
        <f ca="1">IF(B139="+","Unit",IF(ISERROR(OFFSET('HARGA SATUAN'!$E$6,MATCH(RAB!C139,'HARGA SATUAN'!$C$7:$C$1492,0),0)),"",OFFSET('HARGA SATUAN'!$E$6,MATCH(RAB!C139,'HARGA SATUAN'!$C$7:$C$1492,0),0)))</f>
        <v>Unit</v>
      </c>
      <c r="F139" s="494">
        <f>F134*1</f>
        <v>2</v>
      </c>
      <c r="G139" s="357">
        <f ca="1">IF(ISERROR(OFFSET('HARGA SATUAN'!$I$6,MATCH(RAB!C139,'HARGA SATUAN'!$C$7:$C$1492,0),0)),0,OFFSET('HARGA SATUAN'!$I$6,MATCH(RAB!C139,'HARGA SATUAN'!$C$7:$C$1492,0),0))</f>
        <v>35700</v>
      </c>
      <c r="H139" s="358">
        <f t="shared" ca="1" si="56"/>
        <v>0</v>
      </c>
      <c r="I139" s="358">
        <f t="shared" ca="1" si="57"/>
        <v>0</v>
      </c>
      <c r="J139" s="358">
        <f t="shared" ca="1" si="58"/>
        <v>71400</v>
      </c>
      <c r="K139" s="359">
        <f t="shared" ca="1" si="59"/>
        <v>71400</v>
      </c>
    </row>
    <row r="140" spans="2:11">
      <c r="B140" s="485"/>
      <c r="C140" s="489"/>
      <c r="D140" s="355" t="str">
        <f ca="1">IF(ISERROR(OFFSET('HARGA SATUAN'!$D$6,MATCH(RAB!C140,'HARGA SATUAN'!$C$7:$C$1492,0),0)),"",OFFSET('HARGA SATUAN'!$D$6,MATCH(RAB!C140,'HARGA SATUAN'!$C$7:$C$1492,0),0))</f>
        <v/>
      </c>
      <c r="E140" s="356" t="str">
        <f ca="1">IF(B140="+","Unit",IF(ISERROR(OFFSET('HARGA SATUAN'!$E$6,MATCH(RAB!C140,'HARGA SATUAN'!$C$7:$C$1492,0),0)),"",OFFSET('HARGA SATUAN'!$E$6,MATCH(RAB!C140,'HARGA SATUAN'!$C$7:$C$1492,0),0)))</f>
        <v/>
      </c>
      <c r="F140" s="495"/>
      <c r="G140" s="357">
        <f ca="1">IF(ISERROR(OFFSET('HARGA SATUAN'!$I$6,MATCH(RAB!C140,'HARGA SATUAN'!$C$7:$C$1492,0),0)),0,OFFSET('HARGA SATUAN'!$I$6,MATCH(RAB!C140,'HARGA SATUAN'!$C$7:$C$1492,0),0))</f>
        <v>0</v>
      </c>
      <c r="H140" s="358">
        <f t="shared" ca="1" si="56"/>
        <v>0</v>
      </c>
      <c r="I140" s="358">
        <f t="shared" ca="1" si="57"/>
        <v>0</v>
      </c>
      <c r="J140" s="358">
        <f t="shared" ca="1" si="58"/>
        <v>0</v>
      </c>
      <c r="K140" s="359">
        <f t="shared" ca="1" si="59"/>
        <v>0</v>
      </c>
    </row>
    <row r="141" spans="2:11">
      <c r="B141" s="531" t="s">
        <v>1035</v>
      </c>
      <c r="C141" s="532" t="s">
        <v>1648</v>
      </c>
      <c r="D141" s="355" t="str">
        <f ca="1">IF(ISERROR(OFFSET('HARGA SATUAN'!$D$6,MATCH(RAB!C141,'HARGA SATUAN'!$C$7:$C$1492,0),0)),"",OFFSET('HARGA SATUAN'!$D$6,MATCH(RAB!C141,'HARGA SATUAN'!$C$7:$C$1492,0),0))</f>
        <v/>
      </c>
      <c r="E141" s="356" t="str">
        <f ca="1">IF(B141="+","Unit",IF(ISERROR(OFFSET('HARGA SATUAN'!$E$6,MATCH(RAB!C141,'HARGA SATUAN'!$C$7:$C$1492,0),0)),"",OFFSET('HARGA SATUAN'!$E$6,MATCH(RAB!C141,'HARGA SATUAN'!$C$7:$C$1492,0),0)))</f>
        <v>Unit</v>
      </c>
      <c r="F141" s="494">
        <v>1</v>
      </c>
      <c r="G141" s="357">
        <f ca="1">IF(ISERROR(OFFSET('HARGA SATUAN'!$I$6,MATCH(RAB!C141,'HARGA SATUAN'!$C$7:$C$1492,0),0)),0,OFFSET('HARGA SATUAN'!$I$6,MATCH(RAB!C141,'HARGA SATUAN'!$C$7:$C$1492,0),0))</f>
        <v>0</v>
      </c>
      <c r="H141" s="358">
        <f t="shared" ca="1" si="56"/>
        <v>0</v>
      </c>
      <c r="I141" s="358">
        <f t="shared" ca="1" si="57"/>
        <v>0</v>
      </c>
      <c r="J141" s="358">
        <f t="shared" ca="1" si="58"/>
        <v>0</v>
      </c>
      <c r="K141" s="359">
        <f t="shared" ca="1" si="59"/>
        <v>0</v>
      </c>
    </row>
    <row r="142" spans="2:11">
      <c r="B142" s="531">
        <v>1</v>
      </c>
      <c r="C142" s="532" t="s">
        <v>598</v>
      </c>
      <c r="D142" s="355" t="str">
        <f ca="1">IF(ISERROR(OFFSET('HARGA SATUAN'!$D$6,MATCH(RAB!C142,'HARGA SATUAN'!$C$7:$C$1492,0),0)),"",OFFSET('HARGA SATUAN'!$D$6,MATCH(RAB!C142,'HARGA SATUAN'!$C$7:$C$1492,0),0))</f>
        <v>HDW</v>
      </c>
      <c r="E142" s="356" t="str">
        <f ca="1">IF(B142="+","Unit",IF(ISERROR(OFFSET('HARGA SATUAN'!$E$6,MATCH(RAB!C142,'HARGA SATUAN'!$C$7:$C$1492,0),0)),"",OFFSET('HARGA SATUAN'!$E$6,MATCH(RAB!C142,'HARGA SATUAN'!$C$7:$C$1492,0),0)))</f>
        <v>Bh</v>
      </c>
      <c r="F142" s="494">
        <f>F141*1</f>
        <v>1</v>
      </c>
      <c r="G142" s="357">
        <f ca="1">IF(ISERROR(OFFSET('HARGA SATUAN'!$I$6,MATCH(RAB!C142,'HARGA SATUAN'!$C$7:$C$1492,0),0)),0,OFFSET('HARGA SATUAN'!$I$6,MATCH(RAB!C142,'HARGA SATUAN'!$C$7:$C$1492,0),0))</f>
        <v>3965</v>
      </c>
      <c r="H142" s="358">
        <f t="shared" ca="1" si="56"/>
        <v>0</v>
      </c>
      <c r="I142" s="358">
        <f t="shared" ca="1" si="57"/>
        <v>3965</v>
      </c>
      <c r="J142" s="358">
        <f t="shared" ca="1" si="58"/>
        <v>0</v>
      </c>
      <c r="K142" s="359">
        <f t="shared" ca="1" si="59"/>
        <v>3965</v>
      </c>
    </row>
    <row r="143" spans="2:11">
      <c r="B143" s="531">
        <v>2</v>
      </c>
      <c r="C143" s="532" t="s">
        <v>474</v>
      </c>
      <c r="D143" s="355" t="str">
        <f ca="1">IF(ISERROR(OFFSET('HARGA SATUAN'!$D$6,MATCH(RAB!C143,'HARGA SATUAN'!$C$7:$C$1492,0),0)),"",OFFSET('HARGA SATUAN'!$D$6,MATCH(RAB!C143,'HARGA SATUAN'!$C$7:$C$1492,0),0))</f>
        <v>HDW</v>
      </c>
      <c r="E143" s="356" t="str">
        <f ca="1">IF(B143="+","Unit",IF(ISERROR(OFFSET('HARGA SATUAN'!$E$6,MATCH(RAB!C143,'HARGA SATUAN'!$C$7:$C$1492,0),0)),"",OFFSET('HARGA SATUAN'!$E$6,MATCH(RAB!C143,'HARGA SATUAN'!$C$7:$C$1492,0),0)))</f>
        <v>Bh</v>
      </c>
      <c r="F143" s="494">
        <f>F141*1</f>
        <v>1</v>
      </c>
      <c r="G143" s="357">
        <f ca="1">IF(ISERROR(OFFSET('HARGA SATUAN'!$I$6,MATCH(RAB!C143,'HARGA SATUAN'!$C$7:$C$1492,0),0)),0,OFFSET('HARGA SATUAN'!$I$6,MATCH(RAB!C143,'HARGA SATUAN'!$C$7:$C$1492,0),0))</f>
        <v>3711.24</v>
      </c>
      <c r="H143" s="358">
        <f t="shared" ca="1" si="56"/>
        <v>0</v>
      </c>
      <c r="I143" s="358">
        <f t="shared" ca="1" si="57"/>
        <v>3711.24</v>
      </c>
      <c r="J143" s="358">
        <f t="shared" ca="1" si="58"/>
        <v>0</v>
      </c>
      <c r="K143" s="359">
        <f t="shared" ca="1" si="59"/>
        <v>3711.24</v>
      </c>
    </row>
    <row r="144" spans="2:11">
      <c r="B144" s="531">
        <v>3</v>
      </c>
      <c r="C144" s="532" t="s">
        <v>266</v>
      </c>
      <c r="D144" s="355" t="str">
        <f ca="1">IF(ISERROR(OFFSET('HARGA SATUAN'!$D$6,MATCH(RAB!C144,'HARGA SATUAN'!$C$7:$C$1492,0),0)),"",OFFSET('HARGA SATUAN'!$D$6,MATCH(RAB!C144,'HARGA SATUAN'!$C$7:$C$1492,0),0))</f>
        <v>HDW</v>
      </c>
      <c r="E144" s="356" t="str">
        <f ca="1">IF(B144="+","Unit",IF(ISERROR(OFFSET('HARGA SATUAN'!$E$6,MATCH(RAB!C144,'HARGA SATUAN'!$C$7:$C$1492,0),0)),"",OFFSET('HARGA SATUAN'!$E$6,MATCH(RAB!C144,'HARGA SATUAN'!$C$7:$C$1492,0),0)))</f>
        <v>Mtr</v>
      </c>
      <c r="F144" s="494">
        <f>F141*1</f>
        <v>1</v>
      </c>
      <c r="G144" s="357">
        <f ca="1">IF(ISERROR(OFFSET('HARGA SATUAN'!$I$6,MATCH(RAB!C144,'HARGA SATUAN'!$C$7:$C$1492,0),0)),0,OFFSET('HARGA SATUAN'!$I$6,MATCH(RAB!C144,'HARGA SATUAN'!$C$7:$C$1492,0),0))</f>
        <v>23310</v>
      </c>
      <c r="H144" s="358">
        <f t="shared" ca="1" si="56"/>
        <v>0</v>
      </c>
      <c r="I144" s="358">
        <f t="shared" ca="1" si="57"/>
        <v>23310</v>
      </c>
      <c r="J144" s="358">
        <f t="shared" ca="1" si="58"/>
        <v>0</v>
      </c>
      <c r="K144" s="359">
        <f t="shared" ca="1" si="59"/>
        <v>23310</v>
      </c>
    </row>
    <row r="145" spans="2:11">
      <c r="B145" s="531">
        <v>4</v>
      </c>
      <c r="C145" s="532" t="s">
        <v>35</v>
      </c>
      <c r="D145" s="355" t="str">
        <f ca="1">IF(ISERROR(OFFSET('HARGA SATUAN'!$D$6,MATCH(RAB!C145,'HARGA SATUAN'!$C$7:$C$1492,0),0)),"",OFFSET('HARGA SATUAN'!$D$6,MATCH(RAB!C145,'HARGA SATUAN'!$C$7:$C$1492,0),0))</f>
        <v>HDW</v>
      </c>
      <c r="E145" s="356" t="str">
        <f ca="1">IF(B145="+","Unit",IF(ISERROR(OFFSET('HARGA SATUAN'!$E$6,MATCH(RAB!C145,'HARGA SATUAN'!$C$7:$C$1492,0),0)),"",OFFSET('HARGA SATUAN'!$E$6,MATCH(RAB!C145,'HARGA SATUAN'!$C$7:$C$1492,0),0)))</f>
        <v>Bh</v>
      </c>
      <c r="F145" s="494">
        <f>F141*1</f>
        <v>1</v>
      </c>
      <c r="G145" s="357">
        <f ca="1">IF(ISERROR(OFFSET('HARGA SATUAN'!$I$6,MATCH(RAB!C145,'HARGA SATUAN'!$C$7:$C$1492,0),0)),0,OFFSET('HARGA SATUAN'!$I$6,MATCH(RAB!C145,'HARGA SATUAN'!$C$7:$C$1492,0),0))</f>
        <v>2300</v>
      </c>
      <c r="H145" s="358">
        <f t="shared" ca="1" si="56"/>
        <v>0</v>
      </c>
      <c r="I145" s="358">
        <f t="shared" ca="1" si="57"/>
        <v>2300</v>
      </c>
      <c r="J145" s="358">
        <f t="shared" ca="1" si="58"/>
        <v>0</v>
      </c>
      <c r="K145" s="359">
        <f t="shared" ca="1" si="59"/>
        <v>2300</v>
      </c>
    </row>
    <row r="146" spans="2:11">
      <c r="B146" s="531">
        <v>5</v>
      </c>
      <c r="C146" s="532" t="s">
        <v>632</v>
      </c>
      <c r="D146" s="355" t="str">
        <f ca="1">IF(ISERROR(OFFSET('HARGA SATUAN'!$D$6,MATCH(RAB!C146,'HARGA SATUAN'!$C$7:$C$1492,0),0)),"",OFFSET('HARGA SATUAN'!$D$6,MATCH(RAB!C146,'HARGA SATUAN'!$C$7:$C$1492,0),0))</f>
        <v>JASA</v>
      </c>
      <c r="E146" s="356" t="str">
        <f ca="1">IF(B146="+","Unit",IF(ISERROR(OFFSET('HARGA SATUAN'!$E$6,MATCH(RAB!C146,'HARGA SATUAN'!$C$7:$C$1492,0),0)),"",OFFSET('HARGA SATUAN'!$E$6,MATCH(RAB!C146,'HARGA SATUAN'!$C$7:$C$1492,0),0)))</f>
        <v>Unit</v>
      </c>
      <c r="F146" s="494">
        <f>F141*1</f>
        <v>1</v>
      </c>
      <c r="G146" s="357">
        <f ca="1">IF(ISERROR(OFFSET('HARGA SATUAN'!$I$6,MATCH(RAB!C146,'HARGA SATUAN'!$C$7:$C$1492,0),0)),0,OFFSET('HARGA SATUAN'!$I$6,MATCH(RAB!C146,'HARGA SATUAN'!$C$7:$C$1492,0),0))</f>
        <v>22700</v>
      </c>
      <c r="H146" s="358">
        <f t="shared" ca="1" si="56"/>
        <v>0</v>
      </c>
      <c r="I146" s="358">
        <f t="shared" ca="1" si="57"/>
        <v>0</v>
      </c>
      <c r="J146" s="358">
        <f t="shared" ca="1" si="58"/>
        <v>22700</v>
      </c>
      <c r="K146" s="359">
        <f t="shared" ca="1" si="59"/>
        <v>22700</v>
      </c>
    </row>
    <row r="147" spans="2:11">
      <c r="B147" s="485"/>
      <c r="C147" s="489"/>
      <c r="D147" s="355" t="str">
        <f ca="1">IF(ISERROR(OFFSET('HARGA SATUAN'!$D$6,MATCH(RAB!C147,'HARGA SATUAN'!$C$7:$C$1492,0),0)),"",OFFSET('HARGA SATUAN'!$D$6,MATCH(RAB!C147,'HARGA SATUAN'!$C$7:$C$1492,0),0))</f>
        <v/>
      </c>
      <c r="E147" s="356" t="str">
        <f ca="1">IF(B147="+","Unit",IF(ISERROR(OFFSET('HARGA SATUAN'!$E$6,MATCH(RAB!C147,'HARGA SATUAN'!$C$7:$C$1492,0),0)),"",OFFSET('HARGA SATUAN'!$E$6,MATCH(RAB!C147,'HARGA SATUAN'!$C$7:$C$1492,0),0)))</f>
        <v/>
      </c>
      <c r="F147" s="495"/>
      <c r="G147" s="357">
        <f ca="1">IF(ISERROR(OFFSET('HARGA SATUAN'!$I$6,MATCH(RAB!C147,'HARGA SATUAN'!$C$7:$C$1492,0),0)),0,OFFSET('HARGA SATUAN'!$I$6,MATCH(RAB!C147,'HARGA SATUAN'!$C$7:$C$1492,0),0))</f>
        <v>0</v>
      </c>
      <c r="H147" s="358">
        <f t="shared" ca="1" si="56"/>
        <v>0</v>
      </c>
      <c r="I147" s="358">
        <f t="shared" ca="1" si="57"/>
        <v>0</v>
      </c>
      <c r="J147" s="358">
        <f t="shared" ca="1" si="58"/>
        <v>0</v>
      </c>
      <c r="K147" s="359">
        <f t="shared" ca="1" si="59"/>
        <v>0</v>
      </c>
    </row>
    <row r="148" spans="2:11">
      <c r="B148" s="485">
        <v>1</v>
      </c>
      <c r="C148" s="109" t="s">
        <v>1459</v>
      </c>
      <c r="D148" s="355" t="str">
        <f ca="1">IF(ISERROR(OFFSET('HARGA SATUAN'!$D$6,MATCH(RAB!C148,'HARGA SATUAN'!$C$7:$C$1492,0),0)),"",OFFSET('HARGA SATUAN'!$D$6,MATCH(RAB!C148,'HARGA SATUAN'!$C$7:$C$1492,0),0))</f>
        <v>MDU-KD</v>
      </c>
      <c r="E148" s="356" t="str">
        <f ca="1">IF(B148="+","Unit",IF(ISERROR(OFFSET('HARGA SATUAN'!$E$6,MATCH(RAB!C148,'HARGA SATUAN'!$C$7:$C$1492,0),0)),"",OFFSET('HARGA SATUAN'!$E$6,MATCH(RAB!C148,'HARGA SATUAN'!$C$7:$C$1492,0),0)))</f>
        <v>Mtr</v>
      </c>
      <c r="F148" s="495">
        <v>60</v>
      </c>
      <c r="G148" s="357">
        <f ca="1">IF(ISERROR(OFFSET('HARGA SATUAN'!$I$6,MATCH(RAB!C148,'HARGA SATUAN'!$C$7:$C$1492,0),0)),0,OFFSET('HARGA SATUAN'!$I$6,MATCH(RAB!C148,'HARGA SATUAN'!$C$7:$C$1492,0),0))</f>
        <v>54500</v>
      </c>
      <c r="H148" s="358">
        <f t="shared" ca="1" si="56"/>
        <v>3270000</v>
      </c>
      <c r="I148" s="358">
        <f t="shared" ca="1" si="57"/>
        <v>0</v>
      </c>
      <c r="J148" s="358">
        <f t="shared" ca="1" si="58"/>
        <v>0</v>
      </c>
      <c r="K148" s="359">
        <f t="shared" ca="1" si="59"/>
        <v>3270000</v>
      </c>
    </row>
    <row r="149" spans="2:11">
      <c r="B149" s="485">
        <v>2</v>
      </c>
      <c r="C149" s="109" t="s">
        <v>346</v>
      </c>
      <c r="D149" s="355" t="str">
        <f ca="1">IF(ISERROR(OFFSET('HARGA SATUAN'!$D$6,MATCH(RAB!C149,'HARGA SATUAN'!$C$7:$C$1492,0),0)),"",OFFSET('HARGA SATUAN'!$D$6,MATCH(RAB!C149,'HARGA SATUAN'!$C$7:$C$1492,0),0))</f>
        <v>JASA</v>
      </c>
      <c r="E149" s="356" t="str">
        <f ca="1">IF(B149="+","Unit",IF(ISERROR(OFFSET('HARGA SATUAN'!$E$6,MATCH(RAB!C149,'HARGA SATUAN'!$C$7:$C$1492,0),0)),"",OFFSET('HARGA SATUAN'!$E$6,MATCH(RAB!C149,'HARGA SATUAN'!$C$7:$C$1492,0),0)))</f>
        <v>Per 50 m</v>
      </c>
      <c r="F149" s="495">
        <f>F148/50</f>
        <v>1.2</v>
      </c>
      <c r="G149" s="357">
        <f ca="1">IF(ISERROR(OFFSET('HARGA SATUAN'!$I$6,MATCH(RAB!C149,'HARGA SATUAN'!$C$7:$C$1492,0),0)),0,OFFSET('HARGA SATUAN'!$I$6,MATCH(RAB!C149,'HARGA SATUAN'!$C$7:$C$1492,0),0))</f>
        <v>223500</v>
      </c>
      <c r="H149" s="358">
        <f t="shared" ca="1" si="56"/>
        <v>0</v>
      </c>
      <c r="I149" s="358">
        <f t="shared" ca="1" si="57"/>
        <v>0</v>
      </c>
      <c r="J149" s="358">
        <f t="shared" ca="1" si="58"/>
        <v>268200</v>
      </c>
      <c r="K149" s="359">
        <f t="shared" ca="1" si="59"/>
        <v>268200</v>
      </c>
    </row>
    <row r="150" spans="2:11">
      <c r="B150" s="485">
        <v>3</v>
      </c>
      <c r="C150" s="109" t="s">
        <v>353</v>
      </c>
      <c r="D150" s="355" t="str">
        <f ca="1">IF(ISERROR(OFFSET('HARGA SATUAN'!$D$6,MATCH(RAB!C150,'HARGA SATUAN'!$C$7:$C$1492,0),0)),"",OFFSET('HARGA SATUAN'!$D$6,MATCH(RAB!C150,'HARGA SATUAN'!$C$7:$C$1492,0),0))</f>
        <v>JASA</v>
      </c>
      <c r="E150" s="356" t="str">
        <f ca="1">IF(B150="+","Unit",IF(ISERROR(OFFSET('HARGA SATUAN'!$E$6,MATCH(RAB!C150,'HARGA SATUAN'!$C$7:$C$1492,0),0)),"",OFFSET('HARGA SATUAN'!$E$6,MATCH(RAB!C150,'HARGA SATUAN'!$C$7:$C$1492,0),0)))</f>
        <v>Btg</v>
      </c>
      <c r="F150" s="495">
        <v>2</v>
      </c>
      <c r="G150" s="357">
        <f ca="1">IF(ISERROR(OFFSET('HARGA SATUAN'!$I$6,MATCH(RAB!C150,'HARGA SATUAN'!$C$7:$C$1492,0),0)),0,OFFSET('HARGA SATUAN'!$I$6,MATCH(RAB!C150,'HARGA SATUAN'!$C$7:$C$1492,0),0))</f>
        <v>542850</v>
      </c>
      <c r="H150" s="358">
        <f t="shared" ca="1" si="56"/>
        <v>0</v>
      </c>
      <c r="I150" s="358">
        <f t="shared" ca="1" si="57"/>
        <v>0</v>
      </c>
      <c r="J150" s="358">
        <f t="shared" ca="1" si="58"/>
        <v>1085700</v>
      </c>
      <c r="K150" s="359">
        <f t="shared" ca="1" si="59"/>
        <v>1085700</v>
      </c>
    </row>
    <row r="151" spans="2:11">
      <c r="B151" s="485"/>
      <c r="C151" s="489"/>
      <c r="D151" s="355" t="str">
        <f ca="1">IF(ISERROR(OFFSET('HARGA SATUAN'!$D$6,MATCH(RAB!C151,'HARGA SATUAN'!$C$7:$C$1492,0),0)),"",OFFSET('HARGA SATUAN'!$D$6,MATCH(RAB!C151,'HARGA SATUAN'!$C$7:$C$1492,0),0))</f>
        <v/>
      </c>
      <c r="E151" s="356" t="str">
        <f ca="1">IF(B151="+","Unit",IF(ISERROR(OFFSET('HARGA SATUAN'!$E$6,MATCH(RAB!C151,'HARGA SATUAN'!$C$7:$C$1492,0),0)),"",OFFSET('HARGA SATUAN'!$E$6,MATCH(RAB!C151,'HARGA SATUAN'!$C$7:$C$1492,0),0)))</f>
        <v/>
      </c>
      <c r="F151" s="495"/>
      <c r="G151" s="357">
        <f ca="1">IF(ISERROR(OFFSET('HARGA SATUAN'!$I$6,MATCH(RAB!C151,'HARGA SATUAN'!$C$7:$C$1492,0),0)),0,OFFSET('HARGA SATUAN'!$I$6,MATCH(RAB!C151,'HARGA SATUAN'!$C$7:$C$1492,0),0))</f>
        <v>0</v>
      </c>
      <c r="H151" s="358">
        <f t="shared" ca="1" si="56"/>
        <v>0</v>
      </c>
      <c r="I151" s="358">
        <f t="shared" ca="1" si="57"/>
        <v>0</v>
      </c>
      <c r="J151" s="358">
        <f t="shared" ca="1" si="58"/>
        <v>0</v>
      </c>
      <c r="K151" s="359">
        <f t="shared" ca="1" si="59"/>
        <v>0</v>
      </c>
    </row>
    <row r="152" spans="2:11">
      <c r="B152" s="363" t="s">
        <v>1610</v>
      </c>
      <c r="C152" s="364" t="s">
        <v>1612</v>
      </c>
      <c r="D152" s="355" t="str">
        <f ca="1">IF(ISERROR(OFFSET('HARGA SATUAN'!$D$6,MATCH(RAB!C152,'HARGA SATUAN'!$C$7:$C$1492,0),0)),"",OFFSET('HARGA SATUAN'!$D$6,MATCH(RAB!C152,'HARGA SATUAN'!$C$7:$C$1492,0),0))</f>
        <v/>
      </c>
      <c r="E152" s="356" t="str">
        <f ca="1">IF(B152="+","Unit",IF(ISERROR(OFFSET('HARGA SATUAN'!$E$6,MATCH(RAB!C152,'HARGA SATUAN'!$C$7:$C$1492,0),0)),"",OFFSET('HARGA SATUAN'!$E$6,MATCH(RAB!C152,'HARGA SATUAN'!$C$7:$C$1492,0),0)))</f>
        <v/>
      </c>
      <c r="F152" s="495"/>
      <c r="G152" s="357">
        <f ca="1">IF(ISERROR(OFFSET('HARGA SATUAN'!$I$6,MATCH(RAB!C152,'HARGA SATUAN'!$C$7:$C$1492,0),0)),0,OFFSET('HARGA SATUAN'!$I$6,MATCH(RAB!C152,'HARGA SATUAN'!$C$7:$C$1492,0),0))</f>
        <v>0</v>
      </c>
      <c r="H152" s="358">
        <f t="shared" ca="1" si="56"/>
        <v>0</v>
      </c>
      <c r="I152" s="358">
        <f t="shared" ca="1" si="57"/>
        <v>0</v>
      </c>
      <c r="J152" s="358">
        <f t="shared" ca="1" si="58"/>
        <v>0</v>
      </c>
      <c r="K152" s="359">
        <f t="shared" ca="1" si="59"/>
        <v>0</v>
      </c>
    </row>
    <row r="153" spans="2:11">
      <c r="B153" s="363"/>
      <c r="C153" s="364"/>
      <c r="D153" s="355"/>
      <c r="E153" s="356"/>
      <c r="F153" s="495"/>
      <c r="G153" s="357"/>
      <c r="H153" s="358"/>
      <c r="I153" s="358"/>
      <c r="J153" s="358"/>
      <c r="K153" s="359"/>
    </row>
    <row r="154" spans="2:11">
      <c r="B154" s="485"/>
      <c r="C154" s="501" t="s">
        <v>1651</v>
      </c>
      <c r="D154" s="355" t="str">
        <f ca="1">IF(ISERROR(OFFSET('HARGA SATUAN'!$D$6,MATCH(RAB!C154,'HARGA SATUAN'!$C$7:$C$1492,0),0)),"",OFFSET('HARGA SATUAN'!$D$6,MATCH(RAB!C154,'HARGA SATUAN'!$C$7:$C$1492,0),0))</f>
        <v/>
      </c>
      <c r="E154" s="356" t="str">
        <f ca="1">IF(B154="+","Unit",IF(ISERROR(OFFSET('HARGA SATUAN'!$E$6,MATCH(RAB!C154,'HARGA SATUAN'!$C$7:$C$1492,0),0)),"",OFFSET('HARGA SATUAN'!$E$6,MATCH(RAB!C154,'HARGA SATUAN'!$C$7:$C$1492,0),0)))</f>
        <v/>
      </c>
      <c r="F154" s="495"/>
      <c r="G154" s="357">
        <f ca="1">IF(ISERROR(OFFSET('HARGA SATUAN'!$I$6,MATCH(RAB!C154,'HARGA SATUAN'!$C$7:$C$1492,0),0)),0,OFFSET('HARGA SATUAN'!$I$6,MATCH(RAB!C154,'HARGA SATUAN'!$C$7:$C$1492,0),0))</f>
        <v>0</v>
      </c>
      <c r="H154" s="358">
        <f t="shared" ca="1" si="56"/>
        <v>0</v>
      </c>
      <c r="I154" s="358">
        <f t="shared" ca="1" si="57"/>
        <v>0</v>
      </c>
      <c r="J154" s="358">
        <f t="shared" ca="1" si="58"/>
        <v>0</v>
      </c>
      <c r="K154" s="359">
        <f t="shared" ca="1" si="59"/>
        <v>0</v>
      </c>
    </row>
    <row r="155" spans="2:11">
      <c r="B155" s="531" t="s">
        <v>1035</v>
      </c>
      <c r="C155" s="535" t="s">
        <v>1653</v>
      </c>
      <c r="D155" s="355" t="str">
        <f ca="1">IF(ISERROR(OFFSET('HARGA SATUAN'!$D$6,MATCH(RAB!C155,'HARGA SATUAN'!$C$7:$C$1492,0),0)),"",OFFSET('HARGA SATUAN'!$D$6,MATCH(RAB!C155,'HARGA SATUAN'!$C$7:$C$1492,0),0))</f>
        <v/>
      </c>
      <c r="E155" s="356" t="str">
        <f ca="1">IF(B155="+","Unit",IF(ISERROR(OFFSET('HARGA SATUAN'!$E$6,MATCH(RAB!C155,'HARGA SATUAN'!$C$7:$C$1492,0),0)),"",OFFSET('HARGA SATUAN'!$E$6,MATCH(RAB!C155,'HARGA SATUAN'!$C$7:$C$1492,0),0)))</f>
        <v>Unit</v>
      </c>
      <c r="F155" s="494">
        <v>1</v>
      </c>
      <c r="G155" s="357">
        <f ca="1">IF(ISERROR(OFFSET('HARGA SATUAN'!$I$6,MATCH(RAB!C155,'HARGA SATUAN'!$C$7:$C$1492,0),0)),0,OFFSET('HARGA SATUAN'!$I$6,MATCH(RAB!C155,'HARGA SATUAN'!$C$7:$C$1492,0),0))</f>
        <v>0</v>
      </c>
      <c r="H155" s="358">
        <f t="shared" ref="H155:H173" ca="1" si="60">IF(OR(D155="MDU",D155="MDU-KD"),(IF($O$3="RAB NON MDU","PLN KD",G155*F155)),0)</f>
        <v>0</v>
      </c>
      <c r="I155" s="358">
        <f t="shared" ref="I155:I173" ca="1" si="61">IF(D155="HDW",G155*F155,0)</f>
        <v>0</v>
      </c>
      <c r="J155" s="358">
        <f t="shared" ref="J155:J173" ca="1" si="62">IF(D155="JASA",G155*F155,0)</f>
        <v>0</v>
      </c>
      <c r="K155" s="359">
        <f t="shared" ref="K155:K173" ca="1" si="63">SUM(H155:J155)</f>
        <v>0</v>
      </c>
    </row>
    <row r="156" spans="2:11">
      <c r="B156" s="531">
        <v>1</v>
      </c>
      <c r="C156" s="109" t="s">
        <v>1147</v>
      </c>
      <c r="D156" s="355" t="str">
        <f ca="1">IF(ISERROR(OFFSET('HARGA SATUAN'!$D$6,MATCH(RAB!C156,'HARGA SATUAN'!$C$7:$C$1492,0),0)),"",OFFSET('HARGA SATUAN'!$D$6,MATCH(RAB!C156,'HARGA SATUAN'!$C$7:$C$1492,0),0))</f>
        <v>MDU-KD</v>
      </c>
      <c r="E156" s="356" t="str">
        <f ca="1">IF(B156="+","Unit",IF(ISERROR(OFFSET('HARGA SATUAN'!$E$6,MATCH(RAB!C156,'HARGA SATUAN'!$C$7:$C$1492,0),0)),"",OFFSET('HARGA SATUAN'!$E$6,MATCH(RAB!C156,'HARGA SATUAN'!$C$7:$C$1492,0),0)))</f>
        <v>Bh</v>
      </c>
      <c r="F156" s="494">
        <f>F155*1</f>
        <v>1</v>
      </c>
      <c r="G156" s="357">
        <f ca="1">IF(ISERROR(OFFSET('HARGA SATUAN'!$I$6,MATCH(RAB!C156,'HARGA SATUAN'!$C$7:$C$1492,0),0)),0,OFFSET('HARGA SATUAN'!$I$6,MATCH(RAB!C156,'HARGA SATUAN'!$C$7:$C$1492,0),0))</f>
        <v>56838600</v>
      </c>
      <c r="H156" s="358">
        <f t="shared" ca="1" si="60"/>
        <v>56838600</v>
      </c>
      <c r="I156" s="358">
        <f t="shared" ca="1" si="61"/>
        <v>0</v>
      </c>
      <c r="J156" s="358">
        <f t="shared" ca="1" si="62"/>
        <v>0</v>
      </c>
      <c r="K156" s="359">
        <f t="shared" ca="1" si="63"/>
        <v>56838600</v>
      </c>
    </row>
    <row r="157" spans="2:11">
      <c r="B157" s="498">
        <v>2</v>
      </c>
      <c r="C157" s="502" t="s">
        <v>1619</v>
      </c>
      <c r="D157" s="355" t="str">
        <f ca="1">IF(ISERROR(OFFSET('HARGA SATUAN'!$D$6,MATCH(RAB!C157,'HARGA SATUAN'!$C$7:$C$1492,0),0)),"",OFFSET('HARGA SATUAN'!$D$6,MATCH(RAB!C157,'HARGA SATUAN'!$C$7:$C$1492,0),0))</f>
        <v/>
      </c>
      <c r="E157" s="356" t="str">
        <f ca="1">IF(B157="+","Unit",IF(ISERROR(OFFSET('HARGA SATUAN'!$E$6,MATCH(RAB!C157,'HARGA SATUAN'!$C$7:$C$1492,0),0)),"",OFFSET('HARGA SATUAN'!$E$6,MATCH(RAB!C157,'HARGA SATUAN'!$C$7:$C$1492,0),0)))</f>
        <v/>
      </c>
      <c r="F157" s="503"/>
      <c r="G157" s="357">
        <f ca="1">IF(ISERROR(OFFSET('HARGA SATUAN'!$I$6,MATCH(RAB!C157,'HARGA SATUAN'!$C$7:$C$1492,0),0)),0,OFFSET('HARGA SATUAN'!$I$6,MATCH(RAB!C157,'HARGA SATUAN'!$C$7:$C$1492,0),0))</f>
        <v>0</v>
      </c>
      <c r="H157" s="358">
        <f t="shared" ca="1" si="60"/>
        <v>0</v>
      </c>
      <c r="I157" s="358">
        <f t="shared" ca="1" si="61"/>
        <v>0</v>
      </c>
      <c r="J157" s="358">
        <f t="shared" ca="1" si="62"/>
        <v>0</v>
      </c>
      <c r="K157" s="359">
        <f t="shared" ca="1" si="63"/>
        <v>0</v>
      </c>
    </row>
    <row r="158" spans="2:11">
      <c r="B158" s="531"/>
      <c r="C158" s="502" t="s">
        <v>65</v>
      </c>
      <c r="D158" s="534" t="s">
        <v>1646</v>
      </c>
      <c r="E158" s="356" t="str">
        <f ca="1">IF(B158="+","Unit",IF(ISERROR(OFFSET('HARGA SATUAN'!$E$6,MATCH(RAB!C158,'HARGA SATUAN'!$C$7:$C$1492,0),0)),"",OFFSET('HARGA SATUAN'!$E$6,MATCH(RAB!C158,'HARGA SATUAN'!$C$7:$C$1492,0),0)))</f>
        <v>Mtr</v>
      </c>
      <c r="F158" s="494">
        <f>F155*(3*3)</f>
        <v>9</v>
      </c>
      <c r="G158" s="357">
        <f ca="1">IF(ISERROR(OFFSET('HARGA SATUAN'!$I$6,MATCH(RAB!C158,'HARGA SATUAN'!$C$7:$C$1492,0),0)),0,OFFSET('HARGA SATUAN'!$I$6,MATCH(RAB!C158,'HARGA SATUAN'!$C$7:$C$1492,0),0))</f>
        <v>14200</v>
      </c>
      <c r="H158" s="358">
        <f t="shared" si="60"/>
        <v>0</v>
      </c>
      <c r="I158" s="358">
        <f t="shared" si="61"/>
        <v>0</v>
      </c>
      <c r="J158" s="358">
        <f t="shared" si="62"/>
        <v>0</v>
      </c>
      <c r="K158" s="359">
        <f t="shared" si="63"/>
        <v>0</v>
      </c>
    </row>
    <row r="159" spans="2:11">
      <c r="B159" s="531"/>
      <c r="C159" s="109" t="s">
        <v>1459</v>
      </c>
      <c r="D159" s="534" t="s">
        <v>1646</v>
      </c>
      <c r="E159" s="356" t="str">
        <f ca="1">IF(B159="+","Unit",IF(ISERROR(OFFSET('HARGA SATUAN'!$E$6,MATCH(RAB!C159,'HARGA SATUAN'!$C$7:$C$1492,0),0)),"",OFFSET('HARGA SATUAN'!$E$6,MATCH(RAB!C159,'HARGA SATUAN'!$C$7:$C$1492,0),0)))</f>
        <v>Mtr</v>
      </c>
      <c r="F159" s="494">
        <f>F155*3</f>
        <v>3</v>
      </c>
      <c r="G159" s="357">
        <f ca="1">IF(ISERROR(OFFSET('HARGA SATUAN'!$I$6,MATCH(RAB!C159,'HARGA SATUAN'!$C$7:$C$1492,0),0)),0,OFFSET('HARGA SATUAN'!$I$6,MATCH(RAB!C159,'HARGA SATUAN'!$C$7:$C$1492,0),0))</f>
        <v>54500</v>
      </c>
      <c r="H159" s="358">
        <f t="shared" si="60"/>
        <v>0</v>
      </c>
      <c r="I159" s="358">
        <f t="shared" si="61"/>
        <v>0</v>
      </c>
      <c r="J159" s="358">
        <f t="shared" si="62"/>
        <v>0</v>
      </c>
      <c r="K159" s="359">
        <f t="shared" si="63"/>
        <v>0</v>
      </c>
    </row>
    <row r="160" spans="2:11">
      <c r="B160" s="531">
        <v>3</v>
      </c>
      <c r="C160" s="109" t="s">
        <v>559</v>
      </c>
      <c r="D160" s="534" t="s">
        <v>1646</v>
      </c>
      <c r="E160" s="356" t="str">
        <f ca="1">IF(B160="+","Unit",IF(ISERROR(OFFSET('HARGA SATUAN'!$E$6,MATCH(RAB!C160,'HARGA SATUAN'!$C$7:$C$1492,0),0)),"",OFFSET('HARGA SATUAN'!$E$6,MATCH(RAB!C160,'HARGA SATUAN'!$C$7:$C$1492,0),0)))</f>
        <v>Bh</v>
      </c>
      <c r="F160" s="494">
        <f>F155*3</f>
        <v>3</v>
      </c>
      <c r="G160" s="357">
        <f ca="1">IF(ISERROR(OFFSET('HARGA SATUAN'!$I$6,MATCH(RAB!C160,'HARGA SATUAN'!$C$7:$C$1492,0),0)),0,OFFSET('HARGA SATUAN'!$I$6,MATCH(RAB!C160,'HARGA SATUAN'!$C$7:$C$1492,0),0))</f>
        <v>725900</v>
      </c>
      <c r="H160" s="358">
        <f t="shared" si="60"/>
        <v>0</v>
      </c>
      <c r="I160" s="358">
        <f t="shared" si="61"/>
        <v>0</v>
      </c>
      <c r="J160" s="358">
        <f t="shared" si="62"/>
        <v>0</v>
      </c>
      <c r="K160" s="359">
        <f t="shared" si="63"/>
        <v>0</v>
      </c>
    </row>
    <row r="161" spans="2:11">
      <c r="B161" s="531">
        <v>4</v>
      </c>
      <c r="C161" s="532" t="s">
        <v>535</v>
      </c>
      <c r="D161" s="534" t="s">
        <v>1646</v>
      </c>
      <c r="E161" s="356" t="str">
        <f ca="1">IF(B161="+","Unit",IF(ISERROR(OFFSET('HARGA SATUAN'!$E$6,MATCH(RAB!C161,'HARGA SATUAN'!$C$7:$C$1492,0),0)),"",OFFSET('HARGA SATUAN'!$E$6,MATCH(RAB!C161,'HARGA SATUAN'!$C$7:$C$1492,0),0)))</f>
        <v>Bh</v>
      </c>
      <c r="F161" s="494">
        <f>F155*3</f>
        <v>3</v>
      </c>
      <c r="G161" s="357">
        <f ca="1">IF(ISERROR(OFFSET('HARGA SATUAN'!$I$6,MATCH(RAB!C161,'HARGA SATUAN'!$C$7:$C$1492,0),0)),0,OFFSET('HARGA SATUAN'!$I$6,MATCH(RAB!C161,'HARGA SATUAN'!$C$7:$C$1492,0),0))</f>
        <v>848250</v>
      </c>
      <c r="H161" s="358">
        <f t="shared" si="60"/>
        <v>0</v>
      </c>
      <c r="I161" s="358">
        <f t="shared" si="61"/>
        <v>0</v>
      </c>
      <c r="J161" s="358">
        <f t="shared" si="62"/>
        <v>0</v>
      </c>
      <c r="K161" s="359">
        <f t="shared" si="63"/>
        <v>0</v>
      </c>
    </row>
    <row r="162" spans="2:11">
      <c r="B162" s="531">
        <v>5</v>
      </c>
      <c r="C162" s="532" t="s">
        <v>55</v>
      </c>
      <c r="D162" s="355" t="str">
        <f ca="1">IF(ISERROR(OFFSET('HARGA SATUAN'!$D$6,MATCH(RAB!C162,'HARGA SATUAN'!$C$7:$C$1492,0),0)),"",OFFSET('HARGA SATUAN'!$D$6,MATCH(RAB!C162,'HARGA SATUAN'!$C$7:$C$1492,0),0))</f>
        <v>HDW</v>
      </c>
      <c r="E162" s="356" t="str">
        <f ca="1">IF(B162="+","Unit",IF(ISERROR(OFFSET('HARGA SATUAN'!$E$6,MATCH(RAB!C162,'HARGA SATUAN'!$C$7:$C$1492,0),0)),"",OFFSET('HARGA SATUAN'!$E$6,MATCH(RAB!C162,'HARGA SATUAN'!$C$7:$C$1492,0),0)))</f>
        <v>Bh</v>
      </c>
      <c r="F162" s="494">
        <f>F155*3</f>
        <v>3</v>
      </c>
      <c r="G162" s="357">
        <f ca="1">IF(ISERROR(OFFSET('HARGA SATUAN'!$I$6,MATCH(RAB!C162,'HARGA SATUAN'!$C$7:$C$1492,0),0)),0,OFFSET('HARGA SATUAN'!$I$6,MATCH(RAB!C162,'HARGA SATUAN'!$C$7:$C$1492,0),0))</f>
        <v>18000</v>
      </c>
      <c r="H162" s="358">
        <f t="shared" ca="1" si="60"/>
        <v>0</v>
      </c>
      <c r="I162" s="358">
        <f t="shared" ca="1" si="61"/>
        <v>54000</v>
      </c>
      <c r="J162" s="358">
        <f t="shared" ca="1" si="62"/>
        <v>0</v>
      </c>
      <c r="K162" s="359">
        <f t="shared" ca="1" si="63"/>
        <v>54000</v>
      </c>
    </row>
    <row r="163" spans="2:11">
      <c r="B163" s="531">
        <v>6</v>
      </c>
      <c r="C163" s="109" t="s">
        <v>1564</v>
      </c>
      <c r="D163" s="355" t="str">
        <f ca="1">IF(ISERROR(OFFSET('HARGA SATUAN'!$D$6,MATCH(RAB!C163,'HARGA SATUAN'!$C$7:$C$1492,0),0)),"",OFFSET('HARGA SATUAN'!$D$6,MATCH(RAB!C163,'HARGA SATUAN'!$C$7:$C$1492,0),0))</f>
        <v>HDW</v>
      </c>
      <c r="E163" s="356" t="str">
        <f ca="1">IF(B163="+","Unit",IF(ISERROR(OFFSET('HARGA SATUAN'!$E$6,MATCH(RAB!C163,'HARGA SATUAN'!$C$7:$C$1492,0),0)),"",OFFSET('HARGA SATUAN'!$E$6,MATCH(RAB!C163,'HARGA SATUAN'!$C$7:$C$1492,0),0)))</f>
        <v>Bh</v>
      </c>
      <c r="F163" s="494">
        <f>F155*13</f>
        <v>13</v>
      </c>
      <c r="G163" s="357">
        <f ca="1">IF(ISERROR(OFFSET('HARGA SATUAN'!$I$6,MATCH(RAB!C163,'HARGA SATUAN'!$C$7:$C$1492,0),0)),0,OFFSET('HARGA SATUAN'!$I$6,MATCH(RAB!C163,'HARGA SATUAN'!$C$7:$C$1492,0),0))</f>
        <v>49000</v>
      </c>
      <c r="H163" s="358">
        <f t="shared" ca="1" si="60"/>
        <v>0</v>
      </c>
      <c r="I163" s="358">
        <f t="shared" ca="1" si="61"/>
        <v>637000</v>
      </c>
      <c r="J163" s="358">
        <f t="shared" ca="1" si="62"/>
        <v>0</v>
      </c>
      <c r="K163" s="359">
        <f t="shared" ca="1" si="63"/>
        <v>637000</v>
      </c>
    </row>
    <row r="164" spans="2:11">
      <c r="B164" s="531">
        <v>7</v>
      </c>
      <c r="C164" s="532" t="s">
        <v>163</v>
      </c>
      <c r="D164" s="355" t="str">
        <f ca="1">IF(ISERROR(OFFSET('HARGA SATUAN'!$D$6,MATCH(RAB!C164,'HARGA SATUAN'!$C$7:$C$1492,0),0)),"",OFFSET('HARGA SATUAN'!$D$6,MATCH(RAB!C164,'HARGA SATUAN'!$C$7:$C$1492,0),0))</f>
        <v>HDW</v>
      </c>
      <c r="E164" s="356" t="str">
        <f ca="1">IF(B164="+","Unit",IF(ISERROR(OFFSET('HARGA SATUAN'!$E$6,MATCH(RAB!C164,'HARGA SATUAN'!$C$7:$C$1492,0),0)),"",OFFSET('HARGA SATUAN'!$E$6,MATCH(RAB!C164,'HARGA SATUAN'!$C$7:$C$1492,0),0)))</f>
        <v>Bh</v>
      </c>
      <c r="F164" s="494">
        <f>F155*28</f>
        <v>28</v>
      </c>
      <c r="G164" s="357">
        <f ca="1">IF(ISERROR(OFFSET('HARGA SATUAN'!$I$6,MATCH(RAB!C164,'HARGA SATUAN'!$C$7:$C$1492,0),0)),0,OFFSET('HARGA SATUAN'!$I$6,MATCH(RAB!C164,'HARGA SATUAN'!$C$7:$C$1492,0),0))</f>
        <v>7938</v>
      </c>
      <c r="H164" s="358">
        <f t="shared" ca="1" si="60"/>
        <v>0</v>
      </c>
      <c r="I164" s="358">
        <f t="shared" ca="1" si="61"/>
        <v>222264</v>
      </c>
      <c r="J164" s="358">
        <f t="shared" ca="1" si="62"/>
        <v>0</v>
      </c>
      <c r="K164" s="359">
        <f t="shared" ca="1" si="63"/>
        <v>222264</v>
      </c>
    </row>
    <row r="165" spans="2:11">
      <c r="B165" s="531">
        <v>8</v>
      </c>
      <c r="C165" s="532" t="s">
        <v>176</v>
      </c>
      <c r="D165" s="355" t="str">
        <f ca="1">IF(ISERROR(OFFSET('HARGA SATUAN'!$D$6,MATCH(RAB!C165,'HARGA SATUAN'!$C$7:$C$1492,0),0)),"",OFFSET('HARGA SATUAN'!$D$6,MATCH(RAB!C165,'HARGA SATUAN'!$C$7:$C$1492,0),0))</f>
        <v>HDW</v>
      </c>
      <c r="E165" s="356" t="str">
        <f ca="1">IF(B165="+","Unit",IF(ISERROR(OFFSET('HARGA SATUAN'!$E$6,MATCH(RAB!C165,'HARGA SATUAN'!$C$7:$C$1492,0),0)),"",OFFSET('HARGA SATUAN'!$E$6,MATCH(RAB!C165,'HARGA SATUAN'!$C$7:$C$1492,0),0)))</f>
        <v>Bh</v>
      </c>
      <c r="F165" s="494">
        <f>F155*2</f>
        <v>2</v>
      </c>
      <c r="G165" s="357">
        <f ca="1">IF(ISERROR(OFFSET('HARGA SATUAN'!$I$6,MATCH(RAB!C165,'HARGA SATUAN'!$C$7:$C$1492,0),0)),0,OFFSET('HARGA SATUAN'!$I$6,MATCH(RAB!C165,'HARGA SATUAN'!$C$7:$C$1492,0),0))</f>
        <v>404600</v>
      </c>
      <c r="H165" s="358">
        <f t="shared" ca="1" si="60"/>
        <v>0</v>
      </c>
      <c r="I165" s="358">
        <f t="shared" ca="1" si="61"/>
        <v>809200</v>
      </c>
      <c r="J165" s="358">
        <f t="shared" ca="1" si="62"/>
        <v>0</v>
      </c>
      <c r="K165" s="359">
        <f t="shared" ca="1" si="63"/>
        <v>809200</v>
      </c>
    </row>
    <row r="166" spans="2:11">
      <c r="B166" s="531">
        <v>9</v>
      </c>
      <c r="C166" s="532" t="s">
        <v>184</v>
      </c>
      <c r="D166" s="355" t="str">
        <f ca="1">IF(ISERROR(OFFSET('HARGA SATUAN'!$D$6,MATCH(RAB!C166,'HARGA SATUAN'!$C$7:$C$1492,0),0)),"",OFFSET('HARGA SATUAN'!$D$6,MATCH(RAB!C166,'HARGA SATUAN'!$C$7:$C$1492,0),0))</f>
        <v>HDW</v>
      </c>
      <c r="E166" s="356" t="str">
        <f ca="1">IF(B166="+","Unit",IF(ISERROR(OFFSET('HARGA SATUAN'!$E$6,MATCH(RAB!C166,'HARGA SATUAN'!$C$7:$C$1492,0),0)),"",OFFSET('HARGA SATUAN'!$E$6,MATCH(RAB!C166,'HARGA SATUAN'!$C$7:$C$1492,0),0)))</f>
        <v>Bh</v>
      </c>
      <c r="F166" s="494">
        <f>F155*3</f>
        <v>3</v>
      </c>
      <c r="G166" s="357">
        <f ca="1">IF(ISERROR(OFFSET('HARGA SATUAN'!$I$6,MATCH(RAB!C166,'HARGA SATUAN'!$C$7:$C$1492,0),0)),0,OFFSET('HARGA SATUAN'!$I$6,MATCH(RAB!C166,'HARGA SATUAN'!$C$7:$C$1492,0),0))</f>
        <v>15900</v>
      </c>
      <c r="H166" s="358">
        <f t="shared" ca="1" si="60"/>
        <v>0</v>
      </c>
      <c r="I166" s="358">
        <f t="shared" ca="1" si="61"/>
        <v>47700</v>
      </c>
      <c r="J166" s="358">
        <f t="shared" ca="1" si="62"/>
        <v>0</v>
      </c>
      <c r="K166" s="359">
        <f t="shared" ca="1" si="63"/>
        <v>47700</v>
      </c>
    </row>
    <row r="167" spans="2:11">
      <c r="B167" s="531">
        <v>10</v>
      </c>
      <c r="C167" s="532" t="s">
        <v>593</v>
      </c>
      <c r="D167" s="534" t="s">
        <v>1646</v>
      </c>
      <c r="E167" s="356" t="str">
        <f ca="1">IF(B167="+","Unit",IF(ISERROR(OFFSET('HARGA SATUAN'!$E$6,MATCH(RAB!C167,'HARGA SATUAN'!$C$7:$C$1492,0),0)),"",OFFSET('HARGA SATUAN'!$E$6,MATCH(RAB!C167,'HARGA SATUAN'!$C$7:$C$1492,0),0)))</f>
        <v>Bh</v>
      </c>
      <c r="F167" s="494">
        <f>F155*5</f>
        <v>5</v>
      </c>
      <c r="G167" s="357">
        <f ca="1">IF(ISERROR(OFFSET('HARGA SATUAN'!$I$6,MATCH(RAB!C167,'HARGA SATUAN'!$C$7:$C$1492,0),0)),0,OFFSET('HARGA SATUAN'!$I$6,MATCH(RAB!C167,'HARGA SATUAN'!$C$7:$C$1492,0),0))</f>
        <v>380500</v>
      </c>
      <c r="H167" s="358">
        <f t="shared" si="60"/>
        <v>0</v>
      </c>
      <c r="I167" s="358">
        <f t="shared" si="61"/>
        <v>0</v>
      </c>
      <c r="J167" s="358">
        <f t="shared" si="62"/>
        <v>0</v>
      </c>
      <c r="K167" s="359">
        <f t="shared" si="63"/>
        <v>0</v>
      </c>
    </row>
    <row r="168" spans="2:11">
      <c r="B168" s="531">
        <v>11</v>
      </c>
      <c r="C168" s="532" t="s">
        <v>594</v>
      </c>
      <c r="D168" s="355" t="str">
        <f ca="1">IF(ISERROR(OFFSET('HARGA SATUAN'!$D$6,MATCH(RAB!C168,'HARGA SATUAN'!$C$7:$C$1492,0),0)),"",OFFSET('HARGA SATUAN'!$D$6,MATCH(RAB!C168,'HARGA SATUAN'!$C$7:$C$1492,0),0))</f>
        <v>HDW</v>
      </c>
      <c r="E168" s="356" t="str">
        <f ca="1">IF(B168="+","Unit",IF(ISERROR(OFFSET('HARGA SATUAN'!$E$6,MATCH(RAB!C168,'HARGA SATUAN'!$C$7:$C$1492,0),0)),"",OFFSET('HARGA SATUAN'!$E$6,MATCH(RAB!C168,'HARGA SATUAN'!$C$7:$C$1492,0),0)))</f>
        <v>Bh</v>
      </c>
      <c r="F168" s="494">
        <f>F155*4</f>
        <v>4</v>
      </c>
      <c r="G168" s="357">
        <f ca="1">IF(ISERROR(OFFSET('HARGA SATUAN'!$I$6,MATCH(RAB!C168,'HARGA SATUAN'!$C$7:$C$1492,0),0)),0,OFFSET('HARGA SATUAN'!$I$6,MATCH(RAB!C168,'HARGA SATUAN'!$C$7:$C$1492,0),0))</f>
        <v>559200</v>
      </c>
      <c r="H168" s="358">
        <f t="shared" ca="1" si="60"/>
        <v>0</v>
      </c>
      <c r="I168" s="358">
        <f t="shared" ca="1" si="61"/>
        <v>2236800</v>
      </c>
      <c r="J168" s="358">
        <f t="shared" ca="1" si="62"/>
        <v>0</v>
      </c>
      <c r="K168" s="359">
        <f t="shared" ca="1" si="63"/>
        <v>2236800</v>
      </c>
    </row>
    <row r="169" spans="2:11">
      <c r="B169" s="531">
        <v>12</v>
      </c>
      <c r="C169" s="532" t="s">
        <v>208</v>
      </c>
      <c r="D169" s="355" t="str">
        <f ca="1">IF(ISERROR(OFFSET('HARGA SATUAN'!$D$6,MATCH(RAB!C169,'HARGA SATUAN'!$C$7:$C$1492,0),0)),"",OFFSET('HARGA SATUAN'!$D$6,MATCH(RAB!C169,'HARGA SATUAN'!$C$7:$C$1492,0),0))</f>
        <v>HDW</v>
      </c>
      <c r="E169" s="356" t="str">
        <f ca="1">IF(B169="+","Unit",IF(ISERROR(OFFSET('HARGA SATUAN'!$E$6,MATCH(RAB!C169,'HARGA SATUAN'!$C$7:$C$1492,0),0)),"",OFFSET('HARGA SATUAN'!$E$6,MATCH(RAB!C169,'HARGA SATUAN'!$C$7:$C$1492,0),0)))</f>
        <v>Bh</v>
      </c>
      <c r="F169" s="494">
        <f>F155*3</f>
        <v>3</v>
      </c>
      <c r="G169" s="357">
        <f ca="1">IF(ISERROR(OFFSET('HARGA SATUAN'!$I$6,MATCH(RAB!C169,'HARGA SATUAN'!$C$7:$C$1492,0),0)),0,OFFSET('HARGA SATUAN'!$I$6,MATCH(RAB!C169,'HARGA SATUAN'!$C$7:$C$1492,0),0))</f>
        <v>173400</v>
      </c>
      <c r="H169" s="358">
        <f t="shared" ca="1" si="60"/>
        <v>0</v>
      </c>
      <c r="I169" s="358">
        <f t="shared" ca="1" si="61"/>
        <v>520200</v>
      </c>
      <c r="J169" s="358">
        <f t="shared" ca="1" si="62"/>
        <v>0</v>
      </c>
      <c r="K169" s="359">
        <f t="shared" ca="1" si="63"/>
        <v>520200</v>
      </c>
    </row>
    <row r="170" spans="2:11">
      <c r="B170" s="531">
        <v>13</v>
      </c>
      <c r="C170" s="532" t="s">
        <v>247</v>
      </c>
      <c r="D170" s="355" t="str">
        <f ca="1">IF(ISERROR(OFFSET('HARGA SATUAN'!$D$6,MATCH(RAB!C170,'HARGA SATUAN'!$C$7:$C$1492,0),0)),"",OFFSET('HARGA SATUAN'!$D$6,MATCH(RAB!C170,'HARGA SATUAN'!$C$7:$C$1492,0),0))</f>
        <v>HDW</v>
      </c>
      <c r="E170" s="356" t="str">
        <f ca="1">IF(B170="+","Unit",IF(ISERROR(OFFSET('HARGA SATUAN'!$E$6,MATCH(RAB!C170,'HARGA SATUAN'!$C$7:$C$1492,0),0)),"",OFFSET('HARGA SATUAN'!$E$6,MATCH(RAB!C170,'HARGA SATUAN'!$C$7:$C$1492,0),0)))</f>
        <v>Bh</v>
      </c>
      <c r="F170" s="494">
        <f>F155*2</f>
        <v>2</v>
      </c>
      <c r="G170" s="357">
        <f ca="1">IF(ISERROR(OFFSET('HARGA SATUAN'!$I$6,MATCH(RAB!C170,'HARGA SATUAN'!$C$7:$C$1492,0),0)),0,OFFSET('HARGA SATUAN'!$I$6,MATCH(RAB!C170,'HARGA SATUAN'!$C$7:$C$1492,0),0))</f>
        <v>57690</v>
      </c>
      <c r="H170" s="358">
        <f t="shared" ca="1" si="60"/>
        <v>0</v>
      </c>
      <c r="I170" s="358">
        <f t="shared" ca="1" si="61"/>
        <v>115380</v>
      </c>
      <c r="J170" s="358">
        <f t="shared" ca="1" si="62"/>
        <v>0</v>
      </c>
      <c r="K170" s="359">
        <f t="shared" ca="1" si="63"/>
        <v>115380</v>
      </c>
    </row>
    <row r="171" spans="2:11">
      <c r="B171" s="531">
        <v>14</v>
      </c>
      <c r="C171" s="532" t="s">
        <v>248</v>
      </c>
      <c r="D171" s="355" t="str">
        <f ca="1">IF(ISERROR(OFFSET('HARGA SATUAN'!$D$6,MATCH(RAB!C171,'HARGA SATUAN'!$C$7:$C$1492,0),0)),"",OFFSET('HARGA SATUAN'!$D$6,MATCH(RAB!C171,'HARGA SATUAN'!$C$7:$C$1492,0),0))</f>
        <v>HDW</v>
      </c>
      <c r="E171" s="356" t="str">
        <f ca="1">IF(B171="+","Unit",IF(ISERROR(OFFSET('HARGA SATUAN'!$E$6,MATCH(RAB!C171,'HARGA SATUAN'!$C$7:$C$1492,0),0)),"",OFFSET('HARGA SATUAN'!$E$6,MATCH(RAB!C171,'HARGA SATUAN'!$C$7:$C$1492,0),0)))</f>
        <v>Bh</v>
      </c>
      <c r="F171" s="494">
        <f>F155*2</f>
        <v>2</v>
      </c>
      <c r="G171" s="357">
        <f ca="1">IF(ISERROR(OFFSET('HARGA SATUAN'!$I$6,MATCH(RAB!C171,'HARGA SATUAN'!$C$7:$C$1492,0),0)),0,OFFSET('HARGA SATUAN'!$I$6,MATCH(RAB!C171,'HARGA SATUAN'!$C$7:$C$1492,0),0))</f>
        <v>60300</v>
      </c>
      <c r="H171" s="358">
        <f t="shared" ca="1" si="60"/>
        <v>0</v>
      </c>
      <c r="I171" s="358">
        <f t="shared" ca="1" si="61"/>
        <v>120600</v>
      </c>
      <c r="J171" s="358">
        <f t="shared" ca="1" si="62"/>
        <v>0</v>
      </c>
      <c r="K171" s="359">
        <f t="shared" ca="1" si="63"/>
        <v>120600</v>
      </c>
    </row>
    <row r="172" spans="2:11">
      <c r="B172" s="531">
        <v>15</v>
      </c>
      <c r="C172" s="532" t="s">
        <v>267</v>
      </c>
      <c r="D172" s="355" t="str">
        <f ca="1">IF(ISERROR(OFFSET('HARGA SATUAN'!$D$6,MATCH(RAB!C172,'HARGA SATUAN'!$C$7:$C$1492,0),0)),"",OFFSET('HARGA SATUAN'!$D$6,MATCH(RAB!C172,'HARGA SATUAN'!$C$7:$C$1492,0),0))</f>
        <v>HDW</v>
      </c>
      <c r="E172" s="356" t="str">
        <f ca="1">IF(B172="+","Unit",IF(ISERROR(OFFSET('HARGA SATUAN'!$E$6,MATCH(RAB!C172,'HARGA SATUAN'!$C$7:$C$1492,0),0)),"",OFFSET('HARGA SATUAN'!$E$6,MATCH(RAB!C172,'HARGA SATUAN'!$C$7:$C$1492,0),0)))</f>
        <v>Bh</v>
      </c>
      <c r="F172" s="494">
        <f>F155*4</f>
        <v>4</v>
      </c>
      <c r="G172" s="357">
        <f ca="1">IF(ISERROR(OFFSET('HARGA SATUAN'!$I$6,MATCH(RAB!C172,'HARGA SATUAN'!$C$7:$C$1492,0),0)),0,OFFSET('HARGA SATUAN'!$I$6,MATCH(RAB!C172,'HARGA SATUAN'!$C$7:$C$1492,0),0))</f>
        <v>129000</v>
      </c>
      <c r="H172" s="358">
        <f t="shared" ca="1" si="60"/>
        <v>0</v>
      </c>
      <c r="I172" s="358">
        <f t="shared" ca="1" si="61"/>
        <v>516000</v>
      </c>
      <c r="J172" s="358">
        <f t="shared" ca="1" si="62"/>
        <v>0</v>
      </c>
      <c r="K172" s="359">
        <f t="shared" ca="1" si="63"/>
        <v>516000</v>
      </c>
    </row>
    <row r="173" spans="2:11">
      <c r="B173" s="531">
        <v>16</v>
      </c>
      <c r="C173" s="535" t="s">
        <v>786</v>
      </c>
      <c r="D173" s="355" t="str">
        <f ca="1">IF(ISERROR(OFFSET('HARGA SATUAN'!$D$6,MATCH(RAB!C173,'HARGA SATUAN'!$C$7:$C$1492,0),0)),"",OFFSET('HARGA SATUAN'!$D$6,MATCH(RAB!C173,'HARGA SATUAN'!$C$7:$C$1492,0),0))</f>
        <v>JASA</v>
      </c>
      <c r="E173" s="356" t="str">
        <f ca="1">IF(B173="+","Unit",IF(ISERROR(OFFSET('HARGA SATUAN'!$E$6,MATCH(RAB!C173,'HARGA SATUAN'!$C$7:$C$1492,0),0)),"",OFFSET('HARGA SATUAN'!$E$6,MATCH(RAB!C173,'HARGA SATUAN'!$C$7:$C$1492,0),0)))</f>
        <v>Unit</v>
      </c>
      <c r="F173" s="494">
        <f>F155*1</f>
        <v>1</v>
      </c>
      <c r="G173" s="357">
        <f ca="1">IF(ISERROR(OFFSET('HARGA SATUAN'!$I$6,MATCH(RAB!C173,'HARGA SATUAN'!$C$7:$C$1492,0),0)),0,OFFSET('HARGA SATUAN'!$I$6,MATCH(RAB!C173,'HARGA SATUAN'!$C$7:$C$1492,0),0))</f>
        <v>3686500</v>
      </c>
      <c r="H173" s="358">
        <f t="shared" ca="1" si="60"/>
        <v>0</v>
      </c>
      <c r="I173" s="358">
        <f t="shared" ca="1" si="61"/>
        <v>0</v>
      </c>
      <c r="J173" s="358">
        <f t="shared" ca="1" si="62"/>
        <v>3686500</v>
      </c>
      <c r="K173" s="359">
        <f t="shared" ca="1" si="63"/>
        <v>3686500</v>
      </c>
    </row>
    <row r="174" spans="2:11">
      <c r="B174" s="523"/>
      <c r="C174" s="524"/>
      <c r="D174" s="355"/>
      <c r="E174" s="356"/>
      <c r="F174" s="494"/>
      <c r="G174" s="357"/>
      <c r="H174" s="358"/>
      <c r="I174" s="358"/>
      <c r="J174" s="358"/>
      <c r="K174" s="359"/>
    </row>
    <row r="175" spans="2:11">
      <c r="B175" s="498" t="s">
        <v>1035</v>
      </c>
      <c r="C175" s="499" t="s">
        <v>1620</v>
      </c>
      <c r="D175" s="355" t="str">
        <f ca="1">IF(ISERROR(OFFSET('HARGA SATUAN'!$D$6,MATCH(RAB!C175,'HARGA SATUAN'!$C$7:$C$1492,0),0)),"",OFFSET('HARGA SATUAN'!$D$6,MATCH(RAB!C175,'HARGA SATUAN'!$C$7:$C$1492,0),0))</f>
        <v/>
      </c>
      <c r="E175" s="356" t="str">
        <f ca="1">IF(B175="+","Unit",IF(ISERROR(OFFSET('HARGA SATUAN'!$E$6,MATCH(RAB!C175,'HARGA SATUAN'!$C$7:$C$1492,0),0)),"",OFFSET('HARGA SATUAN'!$E$6,MATCH(RAB!C175,'HARGA SATUAN'!$C$7:$C$1492,0),0)))</f>
        <v>Unit</v>
      </c>
      <c r="F175" s="494">
        <v>2</v>
      </c>
      <c r="G175" s="357">
        <f ca="1">IF(ISERROR(OFFSET('HARGA SATUAN'!$I$6,MATCH(RAB!C175,'HARGA SATUAN'!$C$7:$C$1492,0),0)),0,OFFSET('HARGA SATUAN'!$I$6,MATCH(RAB!C175,'HARGA SATUAN'!$C$7:$C$1492,0),0))</f>
        <v>0</v>
      </c>
      <c r="H175" s="358">
        <f t="shared" ref="H175:H199" ca="1" si="64">IF(OR(D175="MDU",D175="MDU-KD"),(IF($O$3="RAB NON MDU","PLN KD",G175*F175)),0)</f>
        <v>0</v>
      </c>
      <c r="I175" s="358">
        <f t="shared" ref="I175:I199" ca="1" si="65">IF(D175="HDW",G175*F175,0)</f>
        <v>0</v>
      </c>
      <c r="J175" s="358">
        <f t="shared" ref="J175:J199" ca="1" si="66">IF(D175="JASA",G175*F175,0)</f>
        <v>0</v>
      </c>
      <c r="K175" s="359">
        <f t="shared" ref="K175:K199" ca="1" si="67">SUM(H175:J175)</f>
        <v>0</v>
      </c>
    </row>
    <row r="176" spans="2:11">
      <c r="B176" s="498">
        <v>1</v>
      </c>
      <c r="C176" s="500" t="s">
        <v>29</v>
      </c>
      <c r="D176" s="355" t="str">
        <f ca="1">IF(ISERROR(OFFSET('HARGA SATUAN'!$D$6,MATCH(RAB!C176,'HARGA SATUAN'!$C$7:$C$1492,0),0)),"",OFFSET('HARGA SATUAN'!$D$6,MATCH(RAB!C176,'HARGA SATUAN'!$C$7:$C$1492,0),0))</f>
        <v>HDW</v>
      </c>
      <c r="E176" s="356" t="str">
        <f ca="1">IF(B176="+","Unit",IF(ISERROR(OFFSET('HARGA SATUAN'!$E$6,MATCH(RAB!C176,'HARGA SATUAN'!$C$7:$C$1492,0),0)),"",OFFSET('HARGA SATUAN'!$E$6,MATCH(RAB!C176,'HARGA SATUAN'!$C$7:$C$1492,0),0)))</f>
        <v>Bh</v>
      </c>
      <c r="F176" s="494">
        <f>F175*1</f>
        <v>2</v>
      </c>
      <c r="G176" s="357">
        <f ca="1">IF(ISERROR(OFFSET('HARGA SATUAN'!$I$6,MATCH(RAB!C176,'HARGA SATUAN'!$C$7:$C$1492,0),0)),0,OFFSET('HARGA SATUAN'!$I$6,MATCH(RAB!C176,'HARGA SATUAN'!$C$7:$C$1492,0),0))</f>
        <v>185200</v>
      </c>
      <c r="H176" s="358">
        <f t="shared" ca="1" si="64"/>
        <v>0</v>
      </c>
      <c r="I176" s="358">
        <f t="shared" ca="1" si="65"/>
        <v>370400</v>
      </c>
      <c r="J176" s="358">
        <f t="shared" ca="1" si="66"/>
        <v>0</v>
      </c>
      <c r="K176" s="359">
        <f t="shared" ca="1" si="67"/>
        <v>370400</v>
      </c>
    </row>
    <row r="177" spans="2:11">
      <c r="B177" s="490">
        <v>2</v>
      </c>
      <c r="C177" s="491" t="s">
        <v>30</v>
      </c>
      <c r="D177" s="355" t="str">
        <f ca="1">IF(ISERROR(OFFSET('HARGA SATUAN'!$D$6,MATCH(RAB!C177,'HARGA SATUAN'!$C$7:$C$1492,0),0)),"",OFFSET('HARGA SATUAN'!$D$6,MATCH(RAB!C177,'HARGA SATUAN'!$C$7:$C$1492,0),0))</f>
        <v>HDW</v>
      </c>
      <c r="E177" s="356" t="str">
        <f ca="1">IF(B177="+","Unit",IF(ISERROR(OFFSET('HARGA SATUAN'!$E$6,MATCH(RAB!C177,'HARGA SATUAN'!$C$7:$C$1492,0),0)),"",OFFSET('HARGA SATUAN'!$E$6,MATCH(RAB!C177,'HARGA SATUAN'!$C$7:$C$1492,0),0)))</f>
        <v>Bh</v>
      </c>
      <c r="F177" s="494">
        <f>F175*1</f>
        <v>2</v>
      </c>
      <c r="G177" s="357">
        <f ca="1">IF(ISERROR(OFFSET('HARGA SATUAN'!$I$6,MATCH(RAB!C177,'HARGA SATUAN'!$C$7:$C$1492,0),0)),0,OFFSET('HARGA SATUAN'!$I$6,MATCH(RAB!C177,'HARGA SATUAN'!$C$7:$C$1492,0),0))</f>
        <v>47459</v>
      </c>
      <c r="H177" s="358">
        <f t="shared" ca="1" si="64"/>
        <v>0</v>
      </c>
      <c r="I177" s="358">
        <f t="shared" ca="1" si="65"/>
        <v>94918</v>
      </c>
      <c r="J177" s="358">
        <f t="shared" ca="1" si="66"/>
        <v>0</v>
      </c>
      <c r="K177" s="359">
        <f t="shared" ca="1" si="67"/>
        <v>94918</v>
      </c>
    </row>
    <row r="178" spans="2:11">
      <c r="B178" s="490">
        <v>3</v>
      </c>
      <c r="C178" s="491" t="s">
        <v>31</v>
      </c>
      <c r="D178" s="355" t="str">
        <f ca="1">IF(ISERROR(OFFSET('HARGA SATUAN'!$D$6,MATCH(RAB!C178,'HARGA SATUAN'!$C$7:$C$1492,0),0)),"",OFFSET('HARGA SATUAN'!$D$6,MATCH(RAB!C178,'HARGA SATUAN'!$C$7:$C$1492,0),0))</f>
        <v>HDW</v>
      </c>
      <c r="E178" s="356" t="str">
        <f ca="1">IF(B178="+","Unit",IF(ISERROR(OFFSET('HARGA SATUAN'!$E$6,MATCH(RAB!C178,'HARGA SATUAN'!$C$7:$C$1492,0),0)),"",OFFSET('HARGA SATUAN'!$E$6,MATCH(RAB!C178,'HARGA SATUAN'!$C$7:$C$1492,0),0)))</f>
        <v>Bh</v>
      </c>
      <c r="F178" s="494">
        <f>F175*1</f>
        <v>2</v>
      </c>
      <c r="G178" s="357">
        <f ca="1">IF(ISERROR(OFFSET('HARGA SATUAN'!$I$6,MATCH(RAB!C178,'HARGA SATUAN'!$C$7:$C$1492,0),0)),0,OFFSET('HARGA SATUAN'!$I$6,MATCH(RAB!C178,'HARGA SATUAN'!$C$7:$C$1492,0),0))</f>
        <v>4880</v>
      </c>
      <c r="H178" s="358">
        <f t="shared" ca="1" si="64"/>
        <v>0</v>
      </c>
      <c r="I178" s="358">
        <f t="shared" ca="1" si="65"/>
        <v>9760</v>
      </c>
      <c r="J178" s="358">
        <f t="shared" ca="1" si="66"/>
        <v>0</v>
      </c>
      <c r="K178" s="359">
        <f t="shared" ca="1" si="67"/>
        <v>9760</v>
      </c>
    </row>
    <row r="179" spans="2:11">
      <c r="B179" s="490">
        <v>4</v>
      </c>
      <c r="C179" s="491" t="s">
        <v>32</v>
      </c>
      <c r="D179" s="355" t="str">
        <f ca="1">IF(ISERROR(OFFSET('HARGA SATUAN'!$D$6,MATCH(RAB!C179,'HARGA SATUAN'!$C$7:$C$1492,0),0)),"",OFFSET('HARGA SATUAN'!$D$6,MATCH(RAB!C179,'HARGA SATUAN'!$C$7:$C$1492,0),0))</f>
        <v>HDW</v>
      </c>
      <c r="E179" s="356" t="str">
        <f ca="1">IF(B179="+","Unit",IF(ISERROR(OFFSET('HARGA SATUAN'!$E$6,MATCH(RAB!C179,'HARGA SATUAN'!$C$7:$C$1492,0),0)),"",OFFSET('HARGA SATUAN'!$E$6,MATCH(RAB!C179,'HARGA SATUAN'!$C$7:$C$1492,0),0)))</f>
        <v>Mtr</v>
      </c>
      <c r="F179" s="494">
        <f>F175*10</f>
        <v>20</v>
      </c>
      <c r="G179" s="357">
        <f ca="1">IF(ISERROR(OFFSET('HARGA SATUAN'!$I$6,MATCH(RAB!C179,'HARGA SATUAN'!$C$7:$C$1492,0),0)),0,OFFSET('HARGA SATUAN'!$I$6,MATCH(RAB!C179,'HARGA SATUAN'!$C$7:$C$1492,0),0))</f>
        <v>30000</v>
      </c>
      <c r="H179" s="358">
        <f t="shared" ca="1" si="64"/>
        <v>0</v>
      </c>
      <c r="I179" s="358">
        <f t="shared" ca="1" si="65"/>
        <v>600000</v>
      </c>
      <c r="J179" s="358">
        <f t="shared" ca="1" si="66"/>
        <v>0</v>
      </c>
      <c r="K179" s="359">
        <f t="shared" ca="1" si="67"/>
        <v>600000</v>
      </c>
    </row>
    <row r="180" spans="2:11">
      <c r="B180" s="490">
        <v>5</v>
      </c>
      <c r="C180" s="491" t="s">
        <v>33</v>
      </c>
      <c r="D180" s="355" t="str">
        <f ca="1">IF(ISERROR(OFFSET('HARGA SATUAN'!$D$6,MATCH(RAB!C180,'HARGA SATUAN'!$C$7:$C$1492,0),0)),"",OFFSET('HARGA SATUAN'!$D$6,MATCH(RAB!C180,'HARGA SATUAN'!$C$7:$C$1492,0),0))</f>
        <v>HDW</v>
      </c>
      <c r="E180" s="356" t="str">
        <f ca="1">IF(B180="+","Unit",IF(ISERROR(OFFSET('HARGA SATUAN'!$E$6,MATCH(RAB!C180,'HARGA SATUAN'!$C$7:$C$1492,0),0)),"",OFFSET('HARGA SATUAN'!$E$6,MATCH(RAB!C180,'HARGA SATUAN'!$C$7:$C$1492,0),0)))</f>
        <v>Bh</v>
      </c>
      <c r="F180" s="494">
        <f>F175*2</f>
        <v>4</v>
      </c>
      <c r="G180" s="357">
        <f ca="1">IF(ISERROR(OFFSET('HARGA SATUAN'!$I$6,MATCH(RAB!C180,'HARGA SATUAN'!$C$7:$C$1492,0),0)),0,OFFSET('HARGA SATUAN'!$I$6,MATCH(RAB!C180,'HARGA SATUAN'!$C$7:$C$1492,0),0))</f>
        <v>9500</v>
      </c>
      <c r="H180" s="358">
        <f t="shared" ca="1" si="64"/>
        <v>0</v>
      </c>
      <c r="I180" s="358">
        <f t="shared" ca="1" si="65"/>
        <v>38000</v>
      </c>
      <c r="J180" s="358">
        <f t="shared" ca="1" si="66"/>
        <v>0</v>
      </c>
      <c r="K180" s="359">
        <f t="shared" ca="1" si="67"/>
        <v>38000</v>
      </c>
    </row>
    <row r="181" spans="2:11">
      <c r="B181" s="490">
        <v>6</v>
      </c>
      <c r="C181" s="491" t="s">
        <v>34</v>
      </c>
      <c r="D181" s="355" t="str">
        <f ca="1">IF(ISERROR(OFFSET('HARGA SATUAN'!$D$6,MATCH(RAB!C181,'HARGA SATUAN'!$C$7:$C$1492,0),0)),"",OFFSET('HARGA SATUAN'!$D$6,MATCH(RAB!C181,'HARGA SATUAN'!$C$7:$C$1492,0),0))</f>
        <v>HDW</v>
      </c>
      <c r="E181" s="356" t="str">
        <f ca="1">IF(B181="+","Unit",IF(ISERROR(OFFSET('HARGA SATUAN'!$E$6,MATCH(RAB!C181,'HARGA SATUAN'!$C$7:$C$1492,0),0)),"",OFFSET('HARGA SATUAN'!$E$6,MATCH(RAB!C181,'HARGA SATUAN'!$C$7:$C$1492,0),0)))</f>
        <v>Bh</v>
      </c>
      <c r="F181" s="494">
        <f>F175*5.5</f>
        <v>11</v>
      </c>
      <c r="G181" s="357">
        <f ca="1">IF(ISERROR(OFFSET('HARGA SATUAN'!$I$6,MATCH(RAB!C181,'HARGA SATUAN'!$C$7:$C$1492,0),0)),0,OFFSET('HARGA SATUAN'!$I$6,MATCH(RAB!C181,'HARGA SATUAN'!$C$7:$C$1492,0),0))</f>
        <v>6100</v>
      </c>
      <c r="H181" s="358">
        <f t="shared" ca="1" si="64"/>
        <v>0</v>
      </c>
      <c r="I181" s="358">
        <f t="shared" ca="1" si="65"/>
        <v>67100</v>
      </c>
      <c r="J181" s="358">
        <f t="shared" ca="1" si="66"/>
        <v>0</v>
      </c>
      <c r="K181" s="359">
        <f t="shared" ca="1" si="67"/>
        <v>67100</v>
      </c>
    </row>
    <row r="182" spans="2:11">
      <c r="B182" s="490">
        <v>7</v>
      </c>
      <c r="C182" s="491" t="s">
        <v>35</v>
      </c>
      <c r="D182" s="355" t="str">
        <f ca="1">IF(ISERROR(OFFSET('HARGA SATUAN'!$D$6,MATCH(RAB!C182,'HARGA SATUAN'!$C$7:$C$1492,0),0)),"",OFFSET('HARGA SATUAN'!$D$6,MATCH(RAB!C182,'HARGA SATUAN'!$C$7:$C$1492,0),0))</f>
        <v>HDW</v>
      </c>
      <c r="E182" s="356" t="str">
        <f ca="1">IF(B182="+","Unit",IF(ISERROR(OFFSET('HARGA SATUAN'!$E$6,MATCH(RAB!C182,'HARGA SATUAN'!$C$7:$C$1492,0),0)),"",OFFSET('HARGA SATUAN'!$E$6,MATCH(RAB!C182,'HARGA SATUAN'!$C$7:$C$1492,0),0)))</f>
        <v>Bh</v>
      </c>
      <c r="F182" s="494">
        <f>F175*6</f>
        <v>12</v>
      </c>
      <c r="G182" s="357">
        <f ca="1">IF(ISERROR(OFFSET('HARGA SATUAN'!$I$6,MATCH(RAB!C182,'HARGA SATUAN'!$C$7:$C$1492,0),0)),0,OFFSET('HARGA SATUAN'!$I$6,MATCH(RAB!C182,'HARGA SATUAN'!$C$7:$C$1492,0),0))</f>
        <v>2300</v>
      </c>
      <c r="H182" s="358">
        <f t="shared" ca="1" si="64"/>
        <v>0</v>
      </c>
      <c r="I182" s="358">
        <f t="shared" ca="1" si="65"/>
        <v>27600</v>
      </c>
      <c r="J182" s="358">
        <f t="shared" ca="1" si="66"/>
        <v>0</v>
      </c>
      <c r="K182" s="359">
        <f t="shared" ca="1" si="67"/>
        <v>27600</v>
      </c>
    </row>
    <row r="183" spans="2:11">
      <c r="B183" s="490">
        <v>8</v>
      </c>
      <c r="C183" s="491" t="s">
        <v>1621</v>
      </c>
      <c r="D183" s="355" t="str">
        <f ca="1">IF(ISERROR(OFFSET('HARGA SATUAN'!$D$6,MATCH(RAB!C183,'HARGA SATUAN'!$C$7:$C$1492,0),0)),"",OFFSET('HARGA SATUAN'!$D$6,MATCH(RAB!C183,'HARGA SATUAN'!$C$7:$C$1492,0),0))</f>
        <v>HDW</v>
      </c>
      <c r="E183" s="356" t="str">
        <f ca="1">IF(B183="+","Unit",IF(ISERROR(OFFSET('HARGA SATUAN'!$E$6,MATCH(RAB!C183,'HARGA SATUAN'!$C$7:$C$1492,0),0)),"",OFFSET('HARGA SATUAN'!$E$6,MATCH(RAB!C183,'HARGA SATUAN'!$C$7:$C$1492,0),0)))</f>
        <v>Mtr</v>
      </c>
      <c r="F183" s="494">
        <f>F175*4.8</f>
        <v>9.6</v>
      </c>
      <c r="G183" s="357">
        <f ca="1">IF(ISERROR(OFFSET('HARGA SATUAN'!$I$6,MATCH(RAB!C183,'HARGA SATUAN'!$C$7:$C$1492,0),0)),0,OFFSET('HARGA SATUAN'!$I$6,MATCH(RAB!C183,'HARGA SATUAN'!$C$7:$C$1492,0),0))</f>
        <v>23310</v>
      </c>
      <c r="H183" s="358">
        <f t="shared" ca="1" si="64"/>
        <v>0</v>
      </c>
      <c r="I183" s="358">
        <f t="shared" ca="1" si="65"/>
        <v>223776</v>
      </c>
      <c r="J183" s="358">
        <f t="shared" ca="1" si="66"/>
        <v>0</v>
      </c>
      <c r="K183" s="359">
        <f t="shared" ca="1" si="67"/>
        <v>223776</v>
      </c>
    </row>
    <row r="184" spans="2:11">
      <c r="B184" s="490">
        <v>9</v>
      </c>
      <c r="C184" s="491" t="s">
        <v>736</v>
      </c>
      <c r="D184" s="355" t="str">
        <f ca="1">IF(ISERROR(OFFSET('HARGA SATUAN'!$D$6,MATCH(RAB!C184,'HARGA SATUAN'!$C$7:$C$1492,0),0)),"",OFFSET('HARGA SATUAN'!$D$6,MATCH(RAB!C184,'HARGA SATUAN'!$C$7:$C$1492,0),0))</f>
        <v>JASA</v>
      </c>
      <c r="E184" s="356" t="str">
        <f ca="1">IF(B184="+","Unit",IF(ISERROR(OFFSET('HARGA SATUAN'!$E$6,MATCH(RAB!C184,'HARGA SATUAN'!$C$7:$C$1492,0),0)),"",OFFSET('HARGA SATUAN'!$E$6,MATCH(RAB!C184,'HARGA SATUAN'!$C$7:$C$1492,0),0)))</f>
        <v>Unit</v>
      </c>
      <c r="F184" s="494">
        <f>F175*1</f>
        <v>2</v>
      </c>
      <c r="G184" s="357">
        <f ca="1">IF(ISERROR(OFFSET('HARGA SATUAN'!$I$6,MATCH(RAB!C184,'HARGA SATUAN'!$C$7:$C$1492,0),0)),0,OFFSET('HARGA SATUAN'!$I$6,MATCH(RAB!C184,'HARGA SATUAN'!$C$7:$C$1492,0),0))</f>
        <v>65400</v>
      </c>
      <c r="H184" s="358">
        <f t="shared" ca="1" si="64"/>
        <v>0</v>
      </c>
      <c r="I184" s="358">
        <f t="shared" ca="1" si="65"/>
        <v>0</v>
      </c>
      <c r="J184" s="358">
        <f t="shared" ca="1" si="66"/>
        <v>130800</v>
      </c>
      <c r="K184" s="359">
        <f t="shared" ca="1" si="67"/>
        <v>130800</v>
      </c>
    </row>
    <row r="185" spans="2:11">
      <c r="B185" s="485"/>
      <c r="C185" s="489"/>
      <c r="D185" s="355" t="str">
        <f ca="1">IF(ISERROR(OFFSET('HARGA SATUAN'!$D$6,MATCH(RAB!C185,'HARGA SATUAN'!$C$7:$C$1492,0),0)),"",OFFSET('HARGA SATUAN'!$D$6,MATCH(RAB!C185,'HARGA SATUAN'!$C$7:$C$1492,0),0))</f>
        <v/>
      </c>
      <c r="E185" s="356" t="str">
        <f ca="1">IF(B185="+","Unit",IF(ISERROR(OFFSET('HARGA SATUAN'!$E$6,MATCH(RAB!C185,'HARGA SATUAN'!$C$7:$C$1492,0),0)),"",OFFSET('HARGA SATUAN'!$E$6,MATCH(RAB!C185,'HARGA SATUAN'!$C$7:$C$1492,0),0)))</f>
        <v/>
      </c>
      <c r="F185" s="495"/>
      <c r="G185" s="357">
        <f ca="1">IF(ISERROR(OFFSET('HARGA SATUAN'!$I$6,MATCH(RAB!C185,'HARGA SATUAN'!$C$7:$C$1492,0),0)),0,OFFSET('HARGA SATUAN'!$I$6,MATCH(RAB!C185,'HARGA SATUAN'!$C$7:$C$1492,0),0))</f>
        <v>0</v>
      </c>
      <c r="H185" s="358">
        <f t="shared" ca="1" si="64"/>
        <v>0</v>
      </c>
      <c r="I185" s="358">
        <f t="shared" ca="1" si="65"/>
        <v>0</v>
      </c>
      <c r="J185" s="358">
        <f t="shared" ca="1" si="66"/>
        <v>0</v>
      </c>
      <c r="K185" s="359">
        <f t="shared" ca="1" si="67"/>
        <v>0</v>
      </c>
    </row>
    <row r="186" spans="2:11">
      <c r="B186" s="485"/>
      <c r="C186" s="501" t="s">
        <v>1652</v>
      </c>
      <c r="D186" s="355"/>
      <c r="E186" s="356"/>
      <c r="F186" s="495"/>
      <c r="G186" s="357"/>
      <c r="H186" s="358"/>
      <c r="I186" s="358"/>
      <c r="J186" s="358"/>
      <c r="K186" s="359"/>
    </row>
    <row r="187" spans="2:11">
      <c r="B187" s="523">
        <v>1</v>
      </c>
      <c r="C187" s="532" t="s">
        <v>964</v>
      </c>
      <c r="D187" s="355" t="str">
        <f ca="1">IF(ISERROR(OFFSET('HARGA SATUAN'!$D$6,MATCH(RAB!C187,'HARGA SATUAN'!$C$7:$C$1492,0),0)),"",OFFSET('HARGA SATUAN'!$D$6,MATCH(RAB!C187,'HARGA SATUAN'!$C$7:$C$1492,0),0))</f>
        <v>JASA</v>
      </c>
      <c r="E187" s="356" t="str">
        <f ca="1">IF(B187="+","Unit",IF(ISERROR(OFFSET('HARGA SATUAN'!$E$6,MATCH(RAB!C187,'HARGA SATUAN'!$C$7:$C$1492,0),0)),"",OFFSET('HARGA SATUAN'!$E$6,MATCH(RAB!C187,'HARGA SATUAN'!$C$7:$C$1492,0),0)))</f>
        <v>Unit</v>
      </c>
      <c r="F187" s="494">
        <v>1</v>
      </c>
      <c r="G187" s="357">
        <f ca="1">IF(ISERROR(OFFSET('HARGA SATUAN'!$I$6,MATCH(RAB!C187,'HARGA SATUAN'!$C$7:$C$1492,0),0)),0,OFFSET('HARGA SATUAN'!$I$6,MATCH(RAB!C187,'HARGA SATUAN'!$C$7:$C$1492,0),0))</f>
        <v>709680</v>
      </c>
      <c r="H187" s="358">
        <f t="shared" ca="1" si="64"/>
        <v>0</v>
      </c>
      <c r="I187" s="358">
        <f t="shared" ca="1" si="65"/>
        <v>0</v>
      </c>
      <c r="J187" s="358">
        <f t="shared" ca="1" si="66"/>
        <v>709680</v>
      </c>
      <c r="K187" s="359">
        <f t="shared" ca="1" si="67"/>
        <v>709680</v>
      </c>
    </row>
    <row r="188" spans="2:11">
      <c r="B188" s="523">
        <v>2</v>
      </c>
      <c r="C188" s="535" t="s">
        <v>783</v>
      </c>
      <c r="D188" s="355" t="str">
        <f ca="1">IF(ISERROR(OFFSET('HARGA SATUAN'!$D$6,MATCH(RAB!C188,'HARGA SATUAN'!$C$7:$C$1492,0),0)),"",OFFSET('HARGA SATUAN'!$D$6,MATCH(RAB!C188,'HARGA SATUAN'!$C$7:$C$1492,0),0))</f>
        <v>JASA</v>
      </c>
      <c r="E188" s="356" t="str">
        <f ca="1">IF(B188="+","Unit",IF(ISERROR(OFFSET('HARGA SATUAN'!$E$6,MATCH(RAB!C188,'HARGA SATUAN'!$C$7:$C$1492,0),0)),"",OFFSET('HARGA SATUAN'!$E$6,MATCH(RAB!C188,'HARGA SATUAN'!$C$7:$C$1492,0),0)))</f>
        <v>Unit</v>
      </c>
      <c r="F188" s="494">
        <v>1</v>
      </c>
      <c r="G188" s="357">
        <f ca="1">IF(ISERROR(OFFSET('HARGA SATUAN'!$I$6,MATCH(RAB!C188,'HARGA SATUAN'!$C$7:$C$1492,0),0)),0,OFFSET('HARGA SATUAN'!$I$6,MATCH(RAB!C188,'HARGA SATUAN'!$C$7:$C$1492,0),0))</f>
        <v>1182800</v>
      </c>
      <c r="H188" s="358">
        <f t="shared" ca="1" si="64"/>
        <v>0</v>
      </c>
      <c r="I188" s="358">
        <f t="shared" ca="1" si="65"/>
        <v>0</v>
      </c>
      <c r="J188" s="358">
        <f t="shared" ca="1" si="66"/>
        <v>1182800</v>
      </c>
      <c r="K188" s="359">
        <f t="shared" ca="1" si="67"/>
        <v>1182800</v>
      </c>
    </row>
    <row r="189" spans="2:11">
      <c r="B189" s="523"/>
      <c r="C189" s="109"/>
      <c r="D189" s="355" t="str">
        <f ca="1">IF(ISERROR(OFFSET('HARGA SATUAN'!$D$6,MATCH(RAB!C189,'HARGA SATUAN'!$C$7:$C$1492,0),0)),"",OFFSET('HARGA SATUAN'!$D$6,MATCH(RAB!C189,'HARGA SATUAN'!$C$7:$C$1492,0),0))</f>
        <v/>
      </c>
      <c r="E189" s="356" t="str">
        <f ca="1">IF(B189="+","Unit",IF(ISERROR(OFFSET('HARGA SATUAN'!$E$6,MATCH(RAB!C189,'HARGA SATUAN'!$C$7:$C$1492,0),0)),"",OFFSET('HARGA SATUAN'!$E$6,MATCH(RAB!C189,'HARGA SATUAN'!$C$7:$C$1492,0),0)))</f>
        <v/>
      </c>
      <c r="F189" s="494"/>
      <c r="G189" s="357">
        <f ca="1">IF(ISERROR(OFFSET('HARGA SATUAN'!$I$6,MATCH(RAB!C189,'HARGA SATUAN'!$C$7:$C$1492,0),0)),0,OFFSET('HARGA SATUAN'!$I$6,MATCH(RAB!C189,'HARGA SATUAN'!$C$7:$C$1492,0),0))</f>
        <v>0</v>
      </c>
      <c r="H189" s="358">
        <f t="shared" ca="1" si="64"/>
        <v>0</v>
      </c>
      <c r="I189" s="358">
        <f t="shared" ca="1" si="65"/>
        <v>0</v>
      </c>
      <c r="J189" s="358">
        <f t="shared" ca="1" si="66"/>
        <v>0</v>
      </c>
      <c r="K189" s="359">
        <f t="shared" ca="1" si="67"/>
        <v>0</v>
      </c>
    </row>
    <row r="190" spans="2:11">
      <c r="B190" s="498" t="s">
        <v>1035</v>
      </c>
      <c r="C190" s="499" t="s">
        <v>1620</v>
      </c>
      <c r="D190" s="355" t="str">
        <f ca="1">IF(ISERROR(OFFSET('HARGA SATUAN'!$D$6,MATCH(RAB!C190,'HARGA SATUAN'!$C$7:$C$1492,0),0)),"",OFFSET('HARGA SATUAN'!$D$6,MATCH(RAB!C190,'HARGA SATUAN'!$C$7:$C$1492,0),0))</f>
        <v/>
      </c>
      <c r="E190" s="356" t="str">
        <f ca="1">IF(B190="+","Unit",IF(ISERROR(OFFSET('HARGA SATUAN'!$E$6,MATCH(RAB!C190,'HARGA SATUAN'!$C$7:$C$1492,0),0)),"",OFFSET('HARGA SATUAN'!$E$6,MATCH(RAB!C190,'HARGA SATUAN'!$C$7:$C$1492,0),0)))</f>
        <v>Unit</v>
      </c>
      <c r="F190" s="494">
        <v>2</v>
      </c>
      <c r="G190" s="357">
        <f ca="1">IF(ISERROR(OFFSET('HARGA SATUAN'!$I$6,MATCH(RAB!C190,'HARGA SATUAN'!$C$7:$C$1492,0),0)),0,OFFSET('HARGA SATUAN'!$I$6,MATCH(RAB!C190,'HARGA SATUAN'!$C$7:$C$1492,0),0))</f>
        <v>0</v>
      </c>
      <c r="H190" s="358">
        <f t="shared" ca="1" si="64"/>
        <v>0</v>
      </c>
      <c r="I190" s="358">
        <f t="shared" ca="1" si="65"/>
        <v>0</v>
      </c>
      <c r="J190" s="358">
        <f t="shared" ca="1" si="66"/>
        <v>0</v>
      </c>
      <c r="K190" s="359">
        <f t="shared" ca="1" si="67"/>
        <v>0</v>
      </c>
    </row>
    <row r="191" spans="2:11">
      <c r="B191" s="498">
        <v>1</v>
      </c>
      <c r="C191" s="500" t="s">
        <v>29</v>
      </c>
      <c r="D191" s="355" t="str">
        <f ca="1">IF(ISERROR(OFFSET('HARGA SATUAN'!$D$6,MATCH(RAB!C191,'HARGA SATUAN'!$C$7:$C$1492,0),0)),"",OFFSET('HARGA SATUAN'!$D$6,MATCH(RAB!C191,'HARGA SATUAN'!$C$7:$C$1492,0),0))</f>
        <v>HDW</v>
      </c>
      <c r="E191" s="356" t="str">
        <f ca="1">IF(B191="+","Unit",IF(ISERROR(OFFSET('HARGA SATUAN'!$E$6,MATCH(RAB!C191,'HARGA SATUAN'!$C$7:$C$1492,0),0)),"",OFFSET('HARGA SATUAN'!$E$6,MATCH(RAB!C191,'HARGA SATUAN'!$C$7:$C$1492,0),0)))</f>
        <v>Bh</v>
      </c>
      <c r="F191" s="494">
        <f>F190*1</f>
        <v>2</v>
      </c>
      <c r="G191" s="357">
        <f ca="1">IF(ISERROR(OFFSET('HARGA SATUAN'!$I$6,MATCH(RAB!C191,'HARGA SATUAN'!$C$7:$C$1492,0),0)),0,OFFSET('HARGA SATUAN'!$I$6,MATCH(RAB!C191,'HARGA SATUAN'!$C$7:$C$1492,0),0))</f>
        <v>185200</v>
      </c>
      <c r="H191" s="358">
        <f t="shared" ca="1" si="64"/>
        <v>0</v>
      </c>
      <c r="I191" s="358">
        <f t="shared" ca="1" si="65"/>
        <v>370400</v>
      </c>
      <c r="J191" s="358">
        <f t="shared" ca="1" si="66"/>
        <v>0</v>
      </c>
      <c r="K191" s="359">
        <f t="shared" ca="1" si="67"/>
        <v>370400</v>
      </c>
    </row>
    <row r="192" spans="2:11">
      <c r="B192" s="490">
        <v>2</v>
      </c>
      <c r="C192" s="491" t="s">
        <v>30</v>
      </c>
      <c r="D192" s="355" t="str">
        <f ca="1">IF(ISERROR(OFFSET('HARGA SATUAN'!$D$6,MATCH(RAB!C192,'HARGA SATUAN'!$C$7:$C$1492,0),0)),"",OFFSET('HARGA SATUAN'!$D$6,MATCH(RAB!C192,'HARGA SATUAN'!$C$7:$C$1492,0),0))</f>
        <v>HDW</v>
      </c>
      <c r="E192" s="356" t="str">
        <f ca="1">IF(B192="+","Unit",IF(ISERROR(OFFSET('HARGA SATUAN'!$E$6,MATCH(RAB!C192,'HARGA SATUAN'!$C$7:$C$1492,0),0)),"",OFFSET('HARGA SATUAN'!$E$6,MATCH(RAB!C192,'HARGA SATUAN'!$C$7:$C$1492,0),0)))</f>
        <v>Bh</v>
      </c>
      <c r="F192" s="494">
        <f>F190*1</f>
        <v>2</v>
      </c>
      <c r="G192" s="357">
        <f ca="1">IF(ISERROR(OFFSET('HARGA SATUAN'!$I$6,MATCH(RAB!C192,'HARGA SATUAN'!$C$7:$C$1492,0),0)),0,OFFSET('HARGA SATUAN'!$I$6,MATCH(RAB!C192,'HARGA SATUAN'!$C$7:$C$1492,0),0))</f>
        <v>47459</v>
      </c>
      <c r="H192" s="358">
        <f t="shared" ca="1" si="64"/>
        <v>0</v>
      </c>
      <c r="I192" s="358">
        <f t="shared" ca="1" si="65"/>
        <v>94918</v>
      </c>
      <c r="J192" s="358">
        <f t="shared" ca="1" si="66"/>
        <v>0</v>
      </c>
      <c r="K192" s="359">
        <f t="shared" ca="1" si="67"/>
        <v>94918</v>
      </c>
    </row>
    <row r="193" spans="2:11">
      <c r="B193" s="490">
        <v>3</v>
      </c>
      <c r="C193" s="491" t="s">
        <v>31</v>
      </c>
      <c r="D193" s="355" t="str">
        <f ca="1">IF(ISERROR(OFFSET('HARGA SATUAN'!$D$6,MATCH(RAB!C193,'HARGA SATUAN'!$C$7:$C$1492,0),0)),"",OFFSET('HARGA SATUAN'!$D$6,MATCH(RAB!C193,'HARGA SATUAN'!$C$7:$C$1492,0),0))</f>
        <v>HDW</v>
      </c>
      <c r="E193" s="356" t="str">
        <f ca="1">IF(B193="+","Unit",IF(ISERROR(OFFSET('HARGA SATUAN'!$E$6,MATCH(RAB!C193,'HARGA SATUAN'!$C$7:$C$1492,0),0)),"",OFFSET('HARGA SATUAN'!$E$6,MATCH(RAB!C193,'HARGA SATUAN'!$C$7:$C$1492,0),0)))</f>
        <v>Bh</v>
      </c>
      <c r="F193" s="494">
        <f>F190*1</f>
        <v>2</v>
      </c>
      <c r="G193" s="357">
        <f ca="1">IF(ISERROR(OFFSET('HARGA SATUAN'!$I$6,MATCH(RAB!C193,'HARGA SATUAN'!$C$7:$C$1492,0),0)),0,OFFSET('HARGA SATUAN'!$I$6,MATCH(RAB!C193,'HARGA SATUAN'!$C$7:$C$1492,0),0))</f>
        <v>4880</v>
      </c>
      <c r="H193" s="358">
        <f t="shared" ca="1" si="64"/>
        <v>0</v>
      </c>
      <c r="I193" s="358">
        <f t="shared" ca="1" si="65"/>
        <v>9760</v>
      </c>
      <c r="J193" s="358">
        <f t="shared" ca="1" si="66"/>
        <v>0</v>
      </c>
      <c r="K193" s="359">
        <f t="shared" ca="1" si="67"/>
        <v>9760</v>
      </c>
    </row>
    <row r="194" spans="2:11">
      <c r="B194" s="490">
        <v>4</v>
      </c>
      <c r="C194" s="491" t="s">
        <v>32</v>
      </c>
      <c r="D194" s="355" t="str">
        <f ca="1">IF(ISERROR(OFFSET('HARGA SATUAN'!$D$6,MATCH(RAB!C194,'HARGA SATUAN'!$C$7:$C$1492,0),0)),"",OFFSET('HARGA SATUAN'!$D$6,MATCH(RAB!C194,'HARGA SATUAN'!$C$7:$C$1492,0),0))</f>
        <v>HDW</v>
      </c>
      <c r="E194" s="356" t="str">
        <f ca="1">IF(B194="+","Unit",IF(ISERROR(OFFSET('HARGA SATUAN'!$E$6,MATCH(RAB!C194,'HARGA SATUAN'!$C$7:$C$1492,0),0)),"",OFFSET('HARGA SATUAN'!$E$6,MATCH(RAB!C194,'HARGA SATUAN'!$C$7:$C$1492,0),0)))</f>
        <v>Mtr</v>
      </c>
      <c r="F194" s="494">
        <f>F190*10</f>
        <v>20</v>
      </c>
      <c r="G194" s="357">
        <f ca="1">IF(ISERROR(OFFSET('HARGA SATUAN'!$I$6,MATCH(RAB!C194,'HARGA SATUAN'!$C$7:$C$1492,0),0)),0,OFFSET('HARGA SATUAN'!$I$6,MATCH(RAB!C194,'HARGA SATUAN'!$C$7:$C$1492,0),0))</f>
        <v>30000</v>
      </c>
      <c r="H194" s="358">
        <f t="shared" ca="1" si="64"/>
        <v>0</v>
      </c>
      <c r="I194" s="358">
        <f t="shared" ca="1" si="65"/>
        <v>600000</v>
      </c>
      <c r="J194" s="358">
        <f t="shared" ca="1" si="66"/>
        <v>0</v>
      </c>
      <c r="K194" s="359">
        <f t="shared" ca="1" si="67"/>
        <v>600000</v>
      </c>
    </row>
    <row r="195" spans="2:11">
      <c r="B195" s="490">
        <v>5</v>
      </c>
      <c r="C195" s="491" t="s">
        <v>33</v>
      </c>
      <c r="D195" s="355" t="str">
        <f ca="1">IF(ISERROR(OFFSET('HARGA SATUAN'!$D$6,MATCH(RAB!C195,'HARGA SATUAN'!$C$7:$C$1492,0),0)),"",OFFSET('HARGA SATUAN'!$D$6,MATCH(RAB!C195,'HARGA SATUAN'!$C$7:$C$1492,0),0))</f>
        <v>HDW</v>
      </c>
      <c r="E195" s="356" t="str">
        <f ca="1">IF(B195="+","Unit",IF(ISERROR(OFFSET('HARGA SATUAN'!$E$6,MATCH(RAB!C195,'HARGA SATUAN'!$C$7:$C$1492,0),0)),"",OFFSET('HARGA SATUAN'!$E$6,MATCH(RAB!C195,'HARGA SATUAN'!$C$7:$C$1492,0),0)))</f>
        <v>Bh</v>
      </c>
      <c r="F195" s="494">
        <f>F190*2</f>
        <v>4</v>
      </c>
      <c r="G195" s="357">
        <f ca="1">IF(ISERROR(OFFSET('HARGA SATUAN'!$I$6,MATCH(RAB!C195,'HARGA SATUAN'!$C$7:$C$1492,0),0)),0,OFFSET('HARGA SATUAN'!$I$6,MATCH(RAB!C195,'HARGA SATUAN'!$C$7:$C$1492,0),0))</f>
        <v>9500</v>
      </c>
      <c r="H195" s="358">
        <f t="shared" ca="1" si="64"/>
        <v>0</v>
      </c>
      <c r="I195" s="358">
        <f t="shared" ca="1" si="65"/>
        <v>38000</v>
      </c>
      <c r="J195" s="358">
        <f t="shared" ca="1" si="66"/>
        <v>0</v>
      </c>
      <c r="K195" s="359">
        <f t="shared" ca="1" si="67"/>
        <v>38000</v>
      </c>
    </row>
    <row r="196" spans="2:11">
      <c r="B196" s="490">
        <v>6</v>
      </c>
      <c r="C196" s="491" t="s">
        <v>34</v>
      </c>
      <c r="D196" s="355" t="str">
        <f ca="1">IF(ISERROR(OFFSET('HARGA SATUAN'!$D$6,MATCH(RAB!C196,'HARGA SATUAN'!$C$7:$C$1492,0),0)),"",OFFSET('HARGA SATUAN'!$D$6,MATCH(RAB!C196,'HARGA SATUAN'!$C$7:$C$1492,0),0))</f>
        <v>HDW</v>
      </c>
      <c r="E196" s="356" t="str">
        <f ca="1">IF(B196="+","Unit",IF(ISERROR(OFFSET('HARGA SATUAN'!$E$6,MATCH(RAB!C196,'HARGA SATUAN'!$C$7:$C$1492,0),0)),"",OFFSET('HARGA SATUAN'!$E$6,MATCH(RAB!C196,'HARGA SATUAN'!$C$7:$C$1492,0),0)))</f>
        <v>Bh</v>
      </c>
      <c r="F196" s="494">
        <f>F190*5.5</f>
        <v>11</v>
      </c>
      <c r="G196" s="357">
        <f ca="1">IF(ISERROR(OFFSET('HARGA SATUAN'!$I$6,MATCH(RAB!C196,'HARGA SATUAN'!$C$7:$C$1492,0),0)),0,OFFSET('HARGA SATUAN'!$I$6,MATCH(RAB!C196,'HARGA SATUAN'!$C$7:$C$1492,0),0))</f>
        <v>6100</v>
      </c>
      <c r="H196" s="358">
        <f t="shared" ca="1" si="64"/>
        <v>0</v>
      </c>
      <c r="I196" s="358">
        <f t="shared" ca="1" si="65"/>
        <v>67100</v>
      </c>
      <c r="J196" s="358">
        <f t="shared" ca="1" si="66"/>
        <v>0</v>
      </c>
      <c r="K196" s="359">
        <f t="shared" ca="1" si="67"/>
        <v>67100</v>
      </c>
    </row>
    <row r="197" spans="2:11">
      <c r="B197" s="490">
        <v>7</v>
      </c>
      <c r="C197" s="491" t="s">
        <v>35</v>
      </c>
      <c r="D197" s="355" t="str">
        <f ca="1">IF(ISERROR(OFFSET('HARGA SATUAN'!$D$6,MATCH(RAB!C197,'HARGA SATUAN'!$C$7:$C$1492,0),0)),"",OFFSET('HARGA SATUAN'!$D$6,MATCH(RAB!C197,'HARGA SATUAN'!$C$7:$C$1492,0),0))</f>
        <v>HDW</v>
      </c>
      <c r="E197" s="356" t="str">
        <f ca="1">IF(B197="+","Unit",IF(ISERROR(OFFSET('HARGA SATUAN'!$E$6,MATCH(RAB!C197,'HARGA SATUAN'!$C$7:$C$1492,0),0)),"",OFFSET('HARGA SATUAN'!$E$6,MATCH(RAB!C197,'HARGA SATUAN'!$C$7:$C$1492,0),0)))</f>
        <v>Bh</v>
      </c>
      <c r="F197" s="494">
        <f>F190*6</f>
        <v>12</v>
      </c>
      <c r="G197" s="357">
        <f ca="1">IF(ISERROR(OFFSET('HARGA SATUAN'!$I$6,MATCH(RAB!C197,'HARGA SATUAN'!$C$7:$C$1492,0),0)),0,OFFSET('HARGA SATUAN'!$I$6,MATCH(RAB!C197,'HARGA SATUAN'!$C$7:$C$1492,0),0))</f>
        <v>2300</v>
      </c>
      <c r="H197" s="358">
        <f t="shared" ca="1" si="64"/>
        <v>0</v>
      </c>
      <c r="I197" s="358">
        <f t="shared" ca="1" si="65"/>
        <v>27600</v>
      </c>
      <c r="J197" s="358">
        <f t="shared" ca="1" si="66"/>
        <v>0</v>
      </c>
      <c r="K197" s="359">
        <f t="shared" ca="1" si="67"/>
        <v>27600</v>
      </c>
    </row>
    <row r="198" spans="2:11">
      <c r="B198" s="490">
        <v>8</v>
      </c>
      <c r="C198" s="491" t="s">
        <v>1621</v>
      </c>
      <c r="D198" s="355" t="str">
        <f ca="1">IF(ISERROR(OFFSET('HARGA SATUAN'!$D$6,MATCH(RAB!C198,'HARGA SATUAN'!$C$7:$C$1492,0),0)),"",OFFSET('HARGA SATUAN'!$D$6,MATCH(RAB!C198,'HARGA SATUAN'!$C$7:$C$1492,0),0))</f>
        <v>HDW</v>
      </c>
      <c r="E198" s="356" t="str">
        <f ca="1">IF(B198="+","Unit",IF(ISERROR(OFFSET('HARGA SATUAN'!$E$6,MATCH(RAB!C198,'HARGA SATUAN'!$C$7:$C$1492,0),0)),"",OFFSET('HARGA SATUAN'!$E$6,MATCH(RAB!C198,'HARGA SATUAN'!$C$7:$C$1492,0),0)))</f>
        <v>Mtr</v>
      </c>
      <c r="F198" s="494">
        <f>F190*4.8</f>
        <v>9.6</v>
      </c>
      <c r="G198" s="357">
        <f ca="1">IF(ISERROR(OFFSET('HARGA SATUAN'!$I$6,MATCH(RAB!C198,'HARGA SATUAN'!$C$7:$C$1492,0),0)),0,OFFSET('HARGA SATUAN'!$I$6,MATCH(RAB!C198,'HARGA SATUAN'!$C$7:$C$1492,0),0))</f>
        <v>23310</v>
      </c>
      <c r="H198" s="358">
        <f t="shared" ca="1" si="64"/>
        <v>0</v>
      </c>
      <c r="I198" s="358">
        <f t="shared" ca="1" si="65"/>
        <v>223776</v>
      </c>
      <c r="J198" s="358">
        <f t="shared" ca="1" si="66"/>
        <v>0</v>
      </c>
      <c r="K198" s="359">
        <f t="shared" ca="1" si="67"/>
        <v>223776</v>
      </c>
    </row>
    <row r="199" spans="2:11">
      <c r="B199" s="490">
        <v>9</v>
      </c>
      <c r="C199" s="491" t="s">
        <v>736</v>
      </c>
      <c r="D199" s="355" t="str">
        <f ca="1">IF(ISERROR(OFFSET('HARGA SATUAN'!$D$6,MATCH(RAB!C199,'HARGA SATUAN'!$C$7:$C$1492,0),0)),"",OFFSET('HARGA SATUAN'!$D$6,MATCH(RAB!C199,'HARGA SATUAN'!$C$7:$C$1492,0),0))</f>
        <v>JASA</v>
      </c>
      <c r="E199" s="356" t="str">
        <f ca="1">IF(B199="+","Unit",IF(ISERROR(OFFSET('HARGA SATUAN'!$E$6,MATCH(RAB!C199,'HARGA SATUAN'!$C$7:$C$1492,0),0)),"",OFFSET('HARGA SATUAN'!$E$6,MATCH(RAB!C199,'HARGA SATUAN'!$C$7:$C$1492,0),0)))</f>
        <v>Unit</v>
      </c>
      <c r="F199" s="494">
        <f>F190*1</f>
        <v>2</v>
      </c>
      <c r="G199" s="357">
        <f ca="1">IF(ISERROR(OFFSET('HARGA SATUAN'!$I$6,MATCH(RAB!C199,'HARGA SATUAN'!$C$7:$C$1492,0),0)),0,OFFSET('HARGA SATUAN'!$I$6,MATCH(RAB!C199,'HARGA SATUAN'!$C$7:$C$1492,0),0))</f>
        <v>65400</v>
      </c>
      <c r="H199" s="358">
        <f t="shared" ca="1" si="64"/>
        <v>0</v>
      </c>
      <c r="I199" s="358">
        <f t="shared" ca="1" si="65"/>
        <v>0</v>
      </c>
      <c r="J199" s="358">
        <f t="shared" ca="1" si="66"/>
        <v>130800</v>
      </c>
      <c r="K199" s="359">
        <f t="shared" ca="1" si="67"/>
        <v>130800</v>
      </c>
    </row>
    <row r="200" spans="2:11">
      <c r="B200" s="485"/>
      <c r="C200" s="486"/>
      <c r="D200" s="355" t="str">
        <f ca="1">IF(ISERROR(OFFSET('HARGA SATUAN'!$D$6,MATCH(RAB!C200,'HARGA SATUAN'!$C$7:$C$1492,0),0)),"",OFFSET('HARGA SATUAN'!$D$6,MATCH(RAB!C200,'HARGA SATUAN'!$C$7:$C$1492,0),0))</f>
        <v/>
      </c>
      <c r="E200" s="356" t="str">
        <f ca="1">IF(B200="+","Unit",IF(ISERROR(OFFSET('HARGA SATUAN'!$E$6,MATCH(RAB!C200,'HARGA SATUAN'!$C$7:$C$1492,0),0)),"",OFFSET('HARGA SATUAN'!$E$6,MATCH(RAB!C200,'HARGA SATUAN'!$C$7:$C$1492,0),0)))</f>
        <v/>
      </c>
      <c r="F200" s="495"/>
      <c r="G200" s="357">
        <f ca="1">IF(ISERROR(OFFSET('HARGA SATUAN'!$I$6,MATCH(RAB!C200,'HARGA SATUAN'!$C$7:$C$1492,0),0)),0,OFFSET('HARGA SATUAN'!$I$6,MATCH(RAB!C200,'HARGA SATUAN'!$C$7:$C$1492,0),0))</f>
        <v>0</v>
      </c>
      <c r="H200" s="358">
        <f t="shared" ref="H200" ca="1" si="68">IF(OR(D200="MDU",D200="MDU-KD"),(IF($O$3="RAB NON MDU","PLN KD",G200*F200)),0)</f>
        <v>0</v>
      </c>
      <c r="I200" s="358">
        <f t="shared" ref="I200" ca="1" si="69">IF(D200="HDW",G200*F200,0)</f>
        <v>0</v>
      </c>
      <c r="J200" s="358">
        <f t="shared" ref="J200" ca="1" si="70">IF(D200="JASA",G200*F200,0)</f>
        <v>0</v>
      </c>
      <c r="K200" s="359">
        <f t="shared" ref="K200" ca="1" si="71">SUM(H200:J200)</f>
        <v>0</v>
      </c>
    </row>
    <row r="201" spans="2:11">
      <c r="B201" s="487" t="s">
        <v>1611</v>
      </c>
      <c r="C201" s="493" t="s">
        <v>1628</v>
      </c>
      <c r="D201" s="355" t="str">
        <f ca="1">IF(ISERROR(OFFSET('HARGA SATUAN'!$D$6,MATCH(RAB!C201,'HARGA SATUAN'!$C$7:$C$1492,0),0)),"",OFFSET('HARGA SATUAN'!$D$6,MATCH(RAB!C201,'HARGA SATUAN'!$C$7:$C$1492,0),0))</f>
        <v/>
      </c>
      <c r="E201" s="356" t="str">
        <f ca="1">IF(B201="+","Unit",IF(ISERROR(OFFSET('HARGA SATUAN'!$E$6,MATCH(RAB!C201,'HARGA SATUAN'!$C$7:$C$1492,0),0)),"",OFFSET('HARGA SATUAN'!$E$6,MATCH(RAB!C201,'HARGA SATUAN'!$C$7:$C$1492,0),0)))</f>
        <v/>
      </c>
      <c r="F201" s="365"/>
      <c r="G201" s="357">
        <f ca="1">IF(ISERROR(OFFSET('HARGA SATUAN'!$I$6,MATCH(RAB!C201,'HARGA SATUAN'!$C$7:$C$1492,0),0)),0,OFFSET('HARGA SATUAN'!$I$6,MATCH(RAB!C201,'HARGA SATUAN'!$C$7:$C$1492,0),0))</f>
        <v>0</v>
      </c>
      <c r="H201" s="358">
        <f t="shared" ca="1" si="12"/>
        <v>0</v>
      </c>
      <c r="I201" s="358">
        <f t="shared" ca="1" si="13"/>
        <v>0</v>
      </c>
      <c r="J201" s="358">
        <f t="shared" ca="1" si="14"/>
        <v>0</v>
      </c>
      <c r="K201" s="359">
        <f t="shared" ca="1" si="15"/>
        <v>0</v>
      </c>
    </row>
    <row r="202" spans="2:11">
      <c r="B202" s="487" t="s">
        <v>1035</v>
      </c>
      <c r="C202" s="488" t="s">
        <v>1645</v>
      </c>
      <c r="D202" s="355" t="str">
        <f ca="1">IF(ISERROR(OFFSET('HARGA SATUAN'!$D$6,MATCH(RAB!C202,'HARGA SATUAN'!$C$7:$C$1492,0),0)),"",OFFSET('HARGA SATUAN'!$D$6,MATCH(RAB!C202,'HARGA SATUAN'!$C$7:$C$1492,0),0))</f>
        <v/>
      </c>
      <c r="E202" s="356" t="str">
        <f ca="1">IF(B202="+","Unit",IF(ISERROR(OFFSET('HARGA SATUAN'!$E$6,MATCH(RAB!C202,'HARGA SATUAN'!$C$7:$C$1492,0),0)),"",OFFSET('HARGA SATUAN'!$E$6,MATCH(RAB!C202,'HARGA SATUAN'!$C$7:$C$1492,0),0)))</f>
        <v>Unit</v>
      </c>
      <c r="F202" s="522">
        <v>1</v>
      </c>
      <c r="G202" s="357">
        <f ca="1">IF(ISERROR(OFFSET('HARGA SATUAN'!$I$6,MATCH(RAB!C202,'HARGA SATUAN'!$C$7:$C$1492,0),0)),0,OFFSET('HARGA SATUAN'!$I$6,MATCH(RAB!C202,'HARGA SATUAN'!$C$7:$C$1492,0),0))</f>
        <v>0</v>
      </c>
      <c r="H202" s="358">
        <f t="shared" ca="1" si="12"/>
        <v>0</v>
      </c>
      <c r="I202" s="358">
        <f t="shared" ca="1" si="13"/>
        <v>0</v>
      </c>
      <c r="J202" s="358">
        <f t="shared" ca="1" si="14"/>
        <v>0</v>
      </c>
      <c r="K202" s="359">
        <f t="shared" ca="1" si="15"/>
        <v>0</v>
      </c>
    </row>
    <row r="203" spans="2:11" ht="30">
      <c r="B203" s="531">
        <v>1</v>
      </c>
      <c r="C203" s="109" t="s">
        <v>1196</v>
      </c>
      <c r="D203" s="355" t="str">
        <f ca="1">IF(ISERROR(OFFSET('HARGA SATUAN'!$D$6,MATCH(RAB!C203,'HARGA SATUAN'!$C$7:$C$1492,0),0)),"",OFFSET('HARGA SATUAN'!$D$6,MATCH(RAB!C203,'HARGA SATUAN'!$C$7:$C$1492,0),0))</f>
        <v>MDU-KD</v>
      </c>
      <c r="E203" s="356" t="str">
        <f ca="1">IF(B203="+","Unit",IF(ISERROR(OFFSET('HARGA SATUAN'!$E$6,MATCH(RAB!C203,'HARGA SATUAN'!$C$7:$C$1492,0),0)),"",OFFSET('HARGA SATUAN'!$E$6,MATCH(RAB!C203,'HARGA SATUAN'!$C$7:$C$1492,0),0)))</f>
        <v>Bh</v>
      </c>
      <c r="F203" s="522">
        <f>F202*1</f>
        <v>1</v>
      </c>
      <c r="G203" s="357">
        <f ca="1">IF(ISERROR(OFFSET('HARGA SATUAN'!$I$6,MATCH(RAB!C203,'HARGA SATUAN'!$C$7:$C$1492,0),0)),0,OFFSET('HARGA SATUAN'!$I$6,MATCH(RAB!C203,'HARGA SATUAN'!$C$7:$C$1492,0),0))</f>
        <v>1504200</v>
      </c>
      <c r="H203" s="358">
        <f t="shared" ca="1" si="12"/>
        <v>1504200</v>
      </c>
      <c r="I203" s="358">
        <f t="shared" ca="1" si="13"/>
        <v>0</v>
      </c>
      <c r="J203" s="358">
        <f t="shared" ca="1" si="14"/>
        <v>0</v>
      </c>
      <c r="K203" s="359">
        <f t="shared" ca="1" si="15"/>
        <v>1504200</v>
      </c>
    </row>
    <row r="204" spans="2:11">
      <c r="B204" s="531">
        <v>2</v>
      </c>
      <c r="C204" s="533" t="s">
        <v>518</v>
      </c>
      <c r="D204" s="355" t="str">
        <f ca="1">IF(ISERROR(OFFSET('HARGA SATUAN'!$D$6,MATCH(RAB!C204,'HARGA SATUAN'!$C$7:$C$1492,0),0)),"",OFFSET('HARGA SATUAN'!$D$6,MATCH(RAB!C204,'HARGA SATUAN'!$C$7:$C$1492,0),0))</f>
        <v>MDU-KD</v>
      </c>
      <c r="E204" s="356" t="str">
        <f ca="1">IF(B204="+","Unit",IF(ISERROR(OFFSET('HARGA SATUAN'!$E$6,MATCH(RAB!C204,'HARGA SATUAN'!$C$7:$C$1492,0),0)),"",OFFSET('HARGA SATUAN'!$E$6,MATCH(RAB!C204,'HARGA SATUAN'!$C$7:$C$1492,0),0)))</f>
        <v>Unit</v>
      </c>
      <c r="F204" s="522">
        <f>F202*1</f>
        <v>1</v>
      </c>
      <c r="G204" s="357">
        <f ca="1">IF(ISERROR(OFFSET('HARGA SATUAN'!$I$6,MATCH(RAB!C204,'HARGA SATUAN'!$C$7:$C$1492,0),0)),0,OFFSET('HARGA SATUAN'!$I$6,MATCH(RAB!C204,'HARGA SATUAN'!$C$7:$C$1492,0),0))</f>
        <v>14217900</v>
      </c>
      <c r="H204" s="358">
        <f t="shared" ca="1" si="12"/>
        <v>14217900</v>
      </c>
      <c r="I204" s="358">
        <f t="shared" ca="1" si="13"/>
        <v>0</v>
      </c>
      <c r="J204" s="358">
        <f t="shared" ca="1" si="14"/>
        <v>0</v>
      </c>
      <c r="K204" s="359">
        <f t="shared" ca="1" si="15"/>
        <v>14217900</v>
      </c>
    </row>
    <row r="205" spans="2:11">
      <c r="B205" s="531">
        <v>3</v>
      </c>
      <c r="C205" s="533" t="s">
        <v>1142</v>
      </c>
      <c r="D205" s="355" t="str">
        <f ca="1">IF(ISERROR(OFFSET('HARGA SATUAN'!$D$6,MATCH(RAB!C205,'HARGA SATUAN'!$C$7:$C$1492,0),0)),"",OFFSET('HARGA SATUAN'!$D$6,MATCH(RAB!C205,'HARGA SATUAN'!$C$7:$C$1492,0),0))</f>
        <v>HDW</v>
      </c>
      <c r="E205" s="356" t="str">
        <f ca="1">IF(B205="+","Unit",IF(ISERROR(OFFSET('HARGA SATUAN'!$E$6,MATCH(RAB!C205,'HARGA SATUAN'!$C$7:$C$1492,0),0)),"",OFFSET('HARGA SATUAN'!$E$6,MATCH(RAB!C205,'HARGA SATUAN'!$C$7:$C$1492,0),0)))</f>
        <v>Unit</v>
      </c>
      <c r="F205" s="522">
        <f>F202*1</f>
        <v>1</v>
      </c>
      <c r="G205" s="357">
        <f ca="1">IF(ISERROR(OFFSET('HARGA SATUAN'!$I$6,MATCH(RAB!C205,'HARGA SATUAN'!$C$7:$C$1492,0),0)),0,OFFSET('HARGA SATUAN'!$I$6,MATCH(RAB!C205,'HARGA SATUAN'!$C$7:$C$1492,0),0))</f>
        <v>1113900</v>
      </c>
      <c r="H205" s="358">
        <f t="shared" ca="1" si="12"/>
        <v>0</v>
      </c>
      <c r="I205" s="358">
        <f t="shared" ca="1" si="13"/>
        <v>1113900</v>
      </c>
      <c r="J205" s="358">
        <f t="shared" ca="1" si="14"/>
        <v>0</v>
      </c>
      <c r="K205" s="359">
        <f t="shared" ca="1" si="15"/>
        <v>1113900</v>
      </c>
    </row>
    <row r="206" spans="2:11">
      <c r="B206" s="531">
        <v>4</v>
      </c>
      <c r="C206" s="109" t="s">
        <v>1402</v>
      </c>
      <c r="D206" s="355" t="str">
        <f ca="1">IF(ISERROR(OFFSET('HARGA SATUAN'!$D$6,MATCH(RAB!C206,'HARGA SATUAN'!$C$7:$C$1492,0),0)),"",OFFSET('HARGA SATUAN'!$D$6,MATCH(RAB!C206,'HARGA SATUAN'!$C$7:$C$1492,0),0))</f>
        <v>MDU-KD</v>
      </c>
      <c r="E206" s="356" t="str">
        <f ca="1">IF(B206="+","Unit",IF(ISERROR(OFFSET('HARGA SATUAN'!$E$6,MATCH(RAB!C206,'HARGA SATUAN'!$C$7:$C$1492,0),0)),"",OFFSET('HARGA SATUAN'!$E$6,MATCH(RAB!C206,'HARGA SATUAN'!$C$7:$C$1492,0),0)))</f>
        <v>Mtr</v>
      </c>
      <c r="F206" s="522">
        <v>20</v>
      </c>
      <c r="G206" s="357">
        <f ca="1">IF(ISERROR(OFFSET('HARGA SATUAN'!$I$6,MATCH(RAB!C206,'HARGA SATUAN'!$C$7:$C$1492,0),0)),0,OFFSET('HARGA SATUAN'!$I$6,MATCH(RAB!C206,'HARGA SATUAN'!$C$7:$C$1492,0),0))</f>
        <v>53300</v>
      </c>
      <c r="H206" s="358">
        <f t="shared" ca="1" si="12"/>
        <v>1066000</v>
      </c>
      <c r="I206" s="358">
        <f t="shared" ca="1" si="13"/>
        <v>0</v>
      </c>
      <c r="J206" s="358">
        <f t="shared" ca="1" si="14"/>
        <v>0</v>
      </c>
      <c r="K206" s="359">
        <f t="shared" ca="1" si="15"/>
        <v>1066000</v>
      </c>
    </row>
    <row r="207" spans="2:11">
      <c r="B207" s="531">
        <v>5</v>
      </c>
      <c r="C207" s="533" t="s">
        <v>799</v>
      </c>
      <c r="D207" s="355" t="str">
        <f ca="1">IF(ISERROR(OFFSET('HARGA SATUAN'!$D$6,MATCH(RAB!C207,'HARGA SATUAN'!$C$7:$C$1492,0),0)),"",OFFSET('HARGA SATUAN'!$D$6,MATCH(RAB!C207,'HARGA SATUAN'!$C$7:$C$1492,0),0))</f>
        <v>JASA</v>
      </c>
      <c r="E207" s="356" t="str">
        <f ca="1">IF(B207="+","Unit",IF(ISERROR(OFFSET('HARGA SATUAN'!$E$6,MATCH(RAB!C207,'HARGA SATUAN'!$C$7:$C$1492,0),0)),"",OFFSET('HARGA SATUAN'!$E$6,MATCH(RAB!C207,'HARGA SATUAN'!$C$7:$C$1492,0),0)))</f>
        <v>Unit</v>
      </c>
      <c r="F207" s="522">
        <f>F202*1</f>
        <v>1</v>
      </c>
      <c r="G207" s="357">
        <f ca="1">IF(ISERROR(OFFSET('HARGA SATUAN'!$I$6,MATCH(RAB!C207,'HARGA SATUAN'!$C$7:$C$1492,0),0)),0,OFFSET('HARGA SATUAN'!$I$6,MATCH(RAB!C207,'HARGA SATUAN'!$C$7:$C$1492,0),0))</f>
        <v>106400</v>
      </c>
      <c r="H207" s="358">
        <f t="shared" ca="1" si="12"/>
        <v>0</v>
      </c>
      <c r="I207" s="358">
        <f t="shared" ca="1" si="13"/>
        <v>0</v>
      </c>
      <c r="J207" s="358">
        <f t="shared" ca="1" si="14"/>
        <v>106400</v>
      </c>
      <c r="K207" s="359">
        <f t="shared" ca="1" si="15"/>
        <v>106400</v>
      </c>
    </row>
    <row r="208" spans="2:11">
      <c r="B208" s="523"/>
      <c r="C208" s="525"/>
      <c r="D208" s="355"/>
      <c r="E208" s="356"/>
      <c r="F208" s="522"/>
      <c r="G208" s="357"/>
      <c r="H208" s="358"/>
      <c r="I208" s="358"/>
      <c r="J208" s="358"/>
      <c r="K208" s="359"/>
    </row>
    <row r="209" spans="2:11">
      <c r="B209" s="490" t="s">
        <v>1035</v>
      </c>
      <c r="C209" s="491" t="s">
        <v>1614</v>
      </c>
      <c r="D209" s="355" t="str">
        <f ca="1">IF(ISERROR(OFFSET('HARGA SATUAN'!$D$6,MATCH(RAB!C209,'HARGA SATUAN'!$C$7:$C$1492,0),0)),"",OFFSET('HARGA SATUAN'!$D$6,MATCH(RAB!C209,'HARGA SATUAN'!$C$7:$C$1492,0),0))</f>
        <v/>
      </c>
      <c r="E209" s="356" t="str">
        <f ca="1">IF(B209="+","Unit",IF(ISERROR(OFFSET('HARGA SATUAN'!$E$6,MATCH(RAB!C209,'HARGA SATUAN'!$C$7:$C$1492,0),0)),"",OFFSET('HARGA SATUAN'!$E$6,MATCH(RAB!C209,'HARGA SATUAN'!$C$7:$C$1492,0),0)))</f>
        <v>Unit</v>
      </c>
      <c r="F209" s="494">
        <v>2</v>
      </c>
      <c r="G209" s="357">
        <f ca="1">IF(ISERROR(OFFSET('HARGA SATUAN'!$I$6,MATCH(RAB!C209,'HARGA SATUAN'!$C$7:$C$1492,0),0)),0,OFFSET('HARGA SATUAN'!$I$6,MATCH(RAB!C209,'HARGA SATUAN'!$C$7:$C$1492,0),0))</f>
        <v>0</v>
      </c>
      <c r="H209" s="358">
        <f t="shared" ca="1" si="12"/>
        <v>0</v>
      </c>
      <c r="I209" s="358">
        <f t="shared" ca="1" si="13"/>
        <v>0</v>
      </c>
      <c r="J209" s="358">
        <f t="shared" ca="1" si="14"/>
        <v>0</v>
      </c>
      <c r="K209" s="359">
        <f t="shared" ca="1" si="15"/>
        <v>0</v>
      </c>
    </row>
    <row r="210" spans="2:11">
      <c r="B210" s="490">
        <v>1</v>
      </c>
      <c r="C210" s="491" t="s">
        <v>29</v>
      </c>
      <c r="D210" s="355" t="str">
        <f ca="1">IF(ISERROR(OFFSET('HARGA SATUAN'!$D$6,MATCH(RAB!C210,'HARGA SATUAN'!$C$7:$C$1492,0),0)),"",OFFSET('HARGA SATUAN'!$D$6,MATCH(RAB!C210,'HARGA SATUAN'!$C$7:$C$1492,0),0))</f>
        <v>HDW</v>
      </c>
      <c r="E210" s="356" t="str">
        <f ca="1">IF(B210="+","Unit",IF(ISERROR(OFFSET('HARGA SATUAN'!$E$6,MATCH(RAB!C210,'HARGA SATUAN'!$C$7:$C$1492,0),0)),"",OFFSET('HARGA SATUAN'!$E$6,MATCH(RAB!C210,'HARGA SATUAN'!$C$7:$C$1492,0),0)))</f>
        <v>Bh</v>
      </c>
      <c r="F210" s="494">
        <f>F209*1</f>
        <v>2</v>
      </c>
      <c r="G210" s="357">
        <f ca="1">IF(ISERROR(OFFSET('HARGA SATUAN'!$I$6,MATCH(RAB!C210,'HARGA SATUAN'!$C$7:$C$1492,0),0)),0,OFFSET('HARGA SATUAN'!$I$6,MATCH(RAB!C210,'HARGA SATUAN'!$C$7:$C$1492,0),0))</f>
        <v>185200</v>
      </c>
      <c r="H210" s="358">
        <f t="shared" ca="1" si="12"/>
        <v>0</v>
      </c>
      <c r="I210" s="358">
        <f t="shared" ca="1" si="13"/>
        <v>370400</v>
      </c>
      <c r="J210" s="358">
        <f t="shared" ca="1" si="14"/>
        <v>0</v>
      </c>
      <c r="K210" s="359">
        <f t="shared" ca="1" si="15"/>
        <v>370400</v>
      </c>
    </row>
    <row r="211" spans="2:11">
      <c r="B211" s="490">
        <v>2</v>
      </c>
      <c r="C211" s="491" t="s">
        <v>30</v>
      </c>
      <c r="D211" s="355" t="str">
        <f ca="1">IF(ISERROR(OFFSET('HARGA SATUAN'!$D$6,MATCH(RAB!C211,'HARGA SATUAN'!$C$7:$C$1492,0),0)),"",OFFSET('HARGA SATUAN'!$D$6,MATCH(RAB!C211,'HARGA SATUAN'!$C$7:$C$1492,0),0))</f>
        <v>HDW</v>
      </c>
      <c r="E211" s="356" t="str">
        <f ca="1">IF(B211="+","Unit",IF(ISERROR(OFFSET('HARGA SATUAN'!$E$6,MATCH(RAB!C211,'HARGA SATUAN'!$C$7:$C$1492,0),0)),"",OFFSET('HARGA SATUAN'!$E$6,MATCH(RAB!C211,'HARGA SATUAN'!$C$7:$C$1492,0),0)))</f>
        <v>Bh</v>
      </c>
      <c r="F211" s="494">
        <f>F209*1</f>
        <v>2</v>
      </c>
      <c r="G211" s="357">
        <f ca="1">IF(ISERROR(OFFSET('HARGA SATUAN'!$I$6,MATCH(RAB!C211,'HARGA SATUAN'!$C$7:$C$1492,0),0)),0,OFFSET('HARGA SATUAN'!$I$6,MATCH(RAB!C211,'HARGA SATUAN'!$C$7:$C$1492,0),0))</f>
        <v>47459</v>
      </c>
      <c r="H211" s="358">
        <f t="shared" ca="1" si="12"/>
        <v>0</v>
      </c>
      <c r="I211" s="358">
        <f t="shared" ca="1" si="13"/>
        <v>94918</v>
      </c>
      <c r="J211" s="358">
        <f t="shared" ca="1" si="14"/>
        <v>0</v>
      </c>
      <c r="K211" s="359">
        <f t="shared" ca="1" si="15"/>
        <v>94918</v>
      </c>
    </row>
    <row r="212" spans="2:11">
      <c r="B212" s="490">
        <v>3</v>
      </c>
      <c r="C212" s="491" t="s">
        <v>32</v>
      </c>
      <c r="D212" s="355" t="str">
        <f ca="1">IF(ISERROR(OFFSET('HARGA SATUAN'!$D$6,MATCH(RAB!C212,'HARGA SATUAN'!$C$7:$C$1492,0),0)),"",OFFSET('HARGA SATUAN'!$D$6,MATCH(RAB!C212,'HARGA SATUAN'!$C$7:$C$1492,0),0))</f>
        <v>HDW</v>
      </c>
      <c r="E212" s="356" t="str">
        <f ca="1">IF(B212="+","Unit",IF(ISERROR(OFFSET('HARGA SATUAN'!$E$6,MATCH(RAB!C212,'HARGA SATUAN'!$C$7:$C$1492,0),0)),"",OFFSET('HARGA SATUAN'!$E$6,MATCH(RAB!C212,'HARGA SATUAN'!$C$7:$C$1492,0),0)))</f>
        <v>Mtr</v>
      </c>
      <c r="F212" s="494">
        <f>F209*1.5</f>
        <v>3</v>
      </c>
      <c r="G212" s="357">
        <f ca="1">IF(ISERROR(OFFSET('HARGA SATUAN'!$I$6,MATCH(RAB!C212,'HARGA SATUAN'!$C$7:$C$1492,0),0)),0,OFFSET('HARGA SATUAN'!$I$6,MATCH(RAB!C212,'HARGA SATUAN'!$C$7:$C$1492,0),0))</f>
        <v>30000</v>
      </c>
      <c r="H212" s="358">
        <f t="shared" ca="1" si="12"/>
        <v>0</v>
      </c>
      <c r="I212" s="358">
        <f t="shared" ca="1" si="13"/>
        <v>90000</v>
      </c>
      <c r="J212" s="358">
        <f t="shared" ca="1" si="14"/>
        <v>0</v>
      </c>
      <c r="K212" s="359">
        <f t="shared" ca="1" si="15"/>
        <v>90000</v>
      </c>
    </row>
    <row r="213" spans="2:11">
      <c r="B213" s="490">
        <v>4</v>
      </c>
      <c r="C213" s="491" t="s">
        <v>33</v>
      </c>
      <c r="D213" s="355" t="str">
        <f ca="1">IF(ISERROR(OFFSET('HARGA SATUAN'!$D$6,MATCH(RAB!C213,'HARGA SATUAN'!$C$7:$C$1492,0),0)),"",OFFSET('HARGA SATUAN'!$D$6,MATCH(RAB!C213,'HARGA SATUAN'!$C$7:$C$1492,0),0))</f>
        <v>HDW</v>
      </c>
      <c r="E213" s="356" t="str">
        <f ca="1">IF(B213="+","Unit",IF(ISERROR(OFFSET('HARGA SATUAN'!$E$6,MATCH(RAB!C213,'HARGA SATUAN'!$C$7:$C$1492,0),0)),"",OFFSET('HARGA SATUAN'!$E$6,MATCH(RAB!C213,'HARGA SATUAN'!$C$7:$C$1492,0),0)))</f>
        <v>Bh</v>
      </c>
      <c r="F213" s="494">
        <f>F209*2</f>
        <v>4</v>
      </c>
      <c r="G213" s="357">
        <f ca="1">IF(ISERROR(OFFSET('HARGA SATUAN'!$I$6,MATCH(RAB!C213,'HARGA SATUAN'!$C$7:$C$1492,0),0)),0,OFFSET('HARGA SATUAN'!$I$6,MATCH(RAB!C213,'HARGA SATUAN'!$C$7:$C$1492,0),0))</f>
        <v>9500</v>
      </c>
      <c r="H213" s="358">
        <f t="shared" ca="1" si="12"/>
        <v>0</v>
      </c>
      <c r="I213" s="358">
        <f t="shared" ca="1" si="13"/>
        <v>38000</v>
      </c>
      <c r="J213" s="358">
        <f t="shared" ca="1" si="14"/>
        <v>0</v>
      </c>
      <c r="K213" s="359">
        <f t="shared" ca="1" si="15"/>
        <v>38000</v>
      </c>
    </row>
    <row r="214" spans="2:11">
      <c r="B214" s="490">
        <v>5</v>
      </c>
      <c r="C214" s="491" t="s">
        <v>735</v>
      </c>
      <c r="D214" s="355" t="str">
        <f ca="1">IF(ISERROR(OFFSET('HARGA SATUAN'!$D$6,MATCH(RAB!C214,'HARGA SATUAN'!$C$7:$C$1492,0),0)),"",OFFSET('HARGA SATUAN'!$D$6,MATCH(RAB!C214,'HARGA SATUAN'!$C$7:$C$1492,0),0))</f>
        <v>JASA</v>
      </c>
      <c r="E214" s="356" t="str">
        <f ca="1">IF(B214="+","Unit",IF(ISERROR(OFFSET('HARGA SATUAN'!$E$6,MATCH(RAB!C214,'HARGA SATUAN'!$C$7:$C$1492,0),0)),"",OFFSET('HARGA SATUAN'!$E$6,MATCH(RAB!C214,'HARGA SATUAN'!$C$7:$C$1492,0),0)))</f>
        <v>Unit</v>
      </c>
      <c r="F214" s="494">
        <f>F209*1</f>
        <v>2</v>
      </c>
      <c r="G214" s="357">
        <f ca="1">IF(ISERROR(OFFSET('HARGA SATUAN'!$I$6,MATCH(RAB!C214,'HARGA SATUAN'!$C$7:$C$1492,0),0)),0,OFFSET('HARGA SATUAN'!$I$6,MATCH(RAB!C214,'HARGA SATUAN'!$C$7:$C$1492,0),0))</f>
        <v>56400</v>
      </c>
      <c r="H214" s="358">
        <f t="shared" ca="1" si="12"/>
        <v>0</v>
      </c>
      <c r="I214" s="358">
        <f t="shared" ca="1" si="13"/>
        <v>0</v>
      </c>
      <c r="J214" s="358">
        <f t="shared" ca="1" si="14"/>
        <v>112800</v>
      </c>
      <c r="K214" s="359">
        <f t="shared" ca="1" si="15"/>
        <v>112800</v>
      </c>
    </row>
    <row r="215" spans="2:11">
      <c r="B215" s="371"/>
      <c r="C215" s="370"/>
      <c r="D215" s="355" t="str">
        <f ca="1">IF(ISERROR(OFFSET('HARGA SATUAN'!$D$6,MATCH(RAB!C215,'HARGA SATUAN'!$C$7:$C$1492,0),0)),"",OFFSET('HARGA SATUAN'!$D$6,MATCH(RAB!C215,'HARGA SATUAN'!$C$7:$C$1492,0),0))</f>
        <v/>
      </c>
      <c r="E215" s="356" t="str">
        <f ca="1">IF(B215="+","Unit",IF(ISERROR(OFFSET('HARGA SATUAN'!$E$6,MATCH(RAB!C215,'HARGA SATUAN'!$C$7:$C$1492,0),0)),"",OFFSET('HARGA SATUAN'!$E$6,MATCH(RAB!C215,'HARGA SATUAN'!$C$7:$C$1492,0),0)))</f>
        <v/>
      </c>
      <c r="F215" s="365"/>
      <c r="G215" s="357">
        <f ca="1">IF(ISERROR(OFFSET('HARGA SATUAN'!$I$6,MATCH(RAB!C215,'HARGA SATUAN'!$C$7:$C$1492,0),0)),0,OFFSET('HARGA SATUAN'!$I$6,MATCH(RAB!C215,'HARGA SATUAN'!$C$7:$C$1492,0),0))</f>
        <v>0</v>
      </c>
      <c r="H215" s="358">
        <f t="shared" ref="H215:H233" ca="1" si="72">IF(OR(D215="MDU",D215="MDU-KD"),(IF($O$3="RAB NON MDU","PLN KD",G215*F215)),0)</f>
        <v>0</v>
      </c>
      <c r="I215" s="358">
        <f t="shared" ref="I215:I233" ca="1" si="73">IF(D215="HDW",G215*F215,0)</f>
        <v>0</v>
      </c>
      <c r="J215" s="358">
        <f t="shared" ref="J215:J233" ca="1" si="74">IF(D215="JASA",G215*F215,0)</f>
        <v>0</v>
      </c>
      <c r="K215" s="359">
        <f t="shared" ref="K215:K233" ca="1" si="75">SUM(H215:J215)</f>
        <v>0</v>
      </c>
    </row>
    <row r="216" spans="2:11">
      <c r="B216" s="523" t="s">
        <v>1035</v>
      </c>
      <c r="C216" s="525" t="s">
        <v>1637</v>
      </c>
      <c r="D216" s="355" t="str">
        <f ca="1">IF(ISERROR(OFFSET('HARGA SATUAN'!$D$6,MATCH(RAB!C216,'HARGA SATUAN'!$C$7:$C$1492,0),0)),"",OFFSET('HARGA SATUAN'!$D$6,MATCH(RAB!C216,'HARGA SATUAN'!$C$7:$C$1492,0),0))</f>
        <v/>
      </c>
      <c r="E216" s="356" t="str">
        <f ca="1">IF(B216="+","Unit",IF(ISERROR(OFFSET('HARGA SATUAN'!$E$6,MATCH(RAB!C216,'HARGA SATUAN'!$C$7:$C$1492,0),0)),"",OFFSET('HARGA SATUAN'!$E$6,MATCH(RAB!C216,'HARGA SATUAN'!$C$7:$C$1492,0),0)))</f>
        <v>Unit</v>
      </c>
      <c r="F216" s="522">
        <v>1</v>
      </c>
      <c r="G216" s="357">
        <f ca="1">IF(ISERROR(OFFSET('HARGA SATUAN'!$I$6,MATCH(RAB!C216,'HARGA SATUAN'!$C$7:$C$1492,0),0)),0,OFFSET('HARGA SATUAN'!$I$6,MATCH(RAB!C216,'HARGA SATUAN'!$C$7:$C$1492,0),0))</f>
        <v>0</v>
      </c>
      <c r="H216" s="358">
        <f t="shared" ref="H216:H224" ca="1" si="76">IF(OR(D216="MDU",D216="MDU-KD"),(IF($O$3="RAB NON MDU","PLN KD",G216*F216)),0)</f>
        <v>0</v>
      </c>
      <c r="I216" s="358">
        <f t="shared" ref="I216:I224" ca="1" si="77">IF(D216="HDW",G216*F216,0)</f>
        <v>0</v>
      </c>
      <c r="J216" s="358">
        <f t="shared" ref="J216:J224" ca="1" si="78">IF(D216="JASA",G216*F216,0)</f>
        <v>0</v>
      </c>
      <c r="K216" s="359">
        <f t="shared" ref="K216:K224" ca="1" si="79">SUM(H216:J216)</f>
        <v>0</v>
      </c>
    </row>
    <row r="217" spans="2:11">
      <c r="B217" s="523">
        <v>1</v>
      </c>
      <c r="C217" s="525" t="s">
        <v>115</v>
      </c>
      <c r="D217" s="355" t="str">
        <f ca="1">IF(ISERROR(OFFSET('HARGA SATUAN'!$D$6,MATCH(RAB!C217,'HARGA SATUAN'!$C$7:$C$1492,0),0)),"",OFFSET('HARGA SATUAN'!$D$6,MATCH(RAB!C217,'HARGA SATUAN'!$C$7:$C$1492,0),0))</f>
        <v>HDW</v>
      </c>
      <c r="E217" s="356" t="str">
        <f ca="1">IF(B217="+","Unit",IF(ISERROR(OFFSET('HARGA SATUAN'!$E$6,MATCH(RAB!C217,'HARGA SATUAN'!$C$7:$C$1492,0),0)),"",OFFSET('HARGA SATUAN'!$E$6,MATCH(RAB!C217,'HARGA SATUAN'!$C$7:$C$1492,0),0)))</f>
        <v>Set</v>
      </c>
      <c r="F217" s="522">
        <f>F216*1</f>
        <v>1</v>
      </c>
      <c r="G217" s="357">
        <f ca="1">IF(ISERROR(OFFSET('HARGA SATUAN'!$I$6,MATCH(RAB!C217,'HARGA SATUAN'!$C$7:$C$1492,0),0)),0,OFFSET('HARGA SATUAN'!$I$6,MATCH(RAB!C217,'HARGA SATUAN'!$C$7:$C$1492,0),0))</f>
        <v>11500</v>
      </c>
      <c r="H217" s="358">
        <f t="shared" ca="1" si="76"/>
        <v>0</v>
      </c>
      <c r="I217" s="358">
        <f t="shared" ca="1" si="77"/>
        <v>11500</v>
      </c>
      <c r="J217" s="358">
        <f t="shared" ca="1" si="78"/>
        <v>0</v>
      </c>
      <c r="K217" s="359">
        <f t="shared" ca="1" si="79"/>
        <v>11500</v>
      </c>
    </row>
    <row r="218" spans="2:11">
      <c r="B218" s="523">
        <v>2</v>
      </c>
      <c r="C218" s="525" t="s">
        <v>145</v>
      </c>
      <c r="D218" s="355" t="str">
        <f ca="1">IF(ISERROR(OFFSET('HARGA SATUAN'!$D$6,MATCH(RAB!C218,'HARGA SATUAN'!$C$7:$C$1492,0),0)),"",OFFSET('HARGA SATUAN'!$D$6,MATCH(RAB!C218,'HARGA SATUAN'!$C$7:$C$1492,0),0))</f>
        <v>HDW</v>
      </c>
      <c r="E218" s="356" t="str">
        <f ca="1">IF(B218="+","Unit",IF(ISERROR(OFFSET('HARGA SATUAN'!$E$6,MATCH(RAB!C218,'HARGA SATUAN'!$C$7:$C$1492,0),0)),"",OFFSET('HARGA SATUAN'!$E$6,MATCH(RAB!C218,'HARGA SATUAN'!$C$7:$C$1492,0),0)))</f>
        <v>Set</v>
      </c>
      <c r="F218" s="522">
        <f>F216*1</f>
        <v>1</v>
      </c>
      <c r="G218" s="357">
        <f ca="1">IF(ISERROR(OFFSET('HARGA SATUAN'!$I$6,MATCH(RAB!C218,'HARGA SATUAN'!$C$7:$C$1492,0),0)),0,OFFSET('HARGA SATUAN'!$I$6,MATCH(RAB!C218,'HARGA SATUAN'!$C$7:$C$1492,0),0))</f>
        <v>6200</v>
      </c>
      <c r="H218" s="358">
        <f t="shared" ca="1" si="76"/>
        <v>0</v>
      </c>
      <c r="I218" s="358">
        <f t="shared" ca="1" si="77"/>
        <v>6200</v>
      </c>
      <c r="J218" s="358">
        <f t="shared" ca="1" si="78"/>
        <v>0</v>
      </c>
      <c r="K218" s="359">
        <f t="shared" ca="1" si="79"/>
        <v>6200</v>
      </c>
    </row>
    <row r="219" spans="2:11">
      <c r="B219" s="523">
        <v>3</v>
      </c>
      <c r="C219" s="525" t="s">
        <v>587</v>
      </c>
      <c r="D219" s="355" t="str">
        <f ca="1">IF(ISERROR(OFFSET('HARGA SATUAN'!$D$6,MATCH(RAB!C219,'HARGA SATUAN'!$C$7:$C$1492,0),0)),"",OFFSET('HARGA SATUAN'!$D$6,MATCH(RAB!C219,'HARGA SATUAN'!$C$7:$C$1492,0),0))</f>
        <v>HDW</v>
      </c>
      <c r="E219" s="356" t="str">
        <f ca="1">IF(B219="+","Unit",IF(ISERROR(OFFSET('HARGA SATUAN'!$E$6,MATCH(RAB!C219,'HARGA SATUAN'!$C$7:$C$1492,0),0)),"",OFFSET('HARGA SATUAN'!$E$6,MATCH(RAB!C219,'HARGA SATUAN'!$C$7:$C$1492,0),0)))</f>
        <v>Btg</v>
      </c>
      <c r="F219" s="522">
        <f>F216*1</f>
        <v>1</v>
      </c>
      <c r="G219" s="357">
        <f ca="1">IF(ISERROR(OFFSET('HARGA SATUAN'!$I$6,MATCH(RAB!C219,'HARGA SATUAN'!$C$7:$C$1492,0),0)),0,OFFSET('HARGA SATUAN'!$I$6,MATCH(RAB!C219,'HARGA SATUAN'!$C$7:$C$1492,0),0))</f>
        <v>45796</v>
      </c>
      <c r="H219" s="358">
        <f t="shared" ca="1" si="76"/>
        <v>0</v>
      </c>
      <c r="I219" s="358">
        <f t="shared" ca="1" si="77"/>
        <v>45796</v>
      </c>
      <c r="J219" s="358">
        <f t="shared" ca="1" si="78"/>
        <v>0</v>
      </c>
      <c r="K219" s="359">
        <f t="shared" ca="1" si="79"/>
        <v>45796</v>
      </c>
    </row>
    <row r="220" spans="2:11">
      <c r="B220" s="523">
        <v>4</v>
      </c>
      <c r="C220" s="525" t="s">
        <v>118</v>
      </c>
      <c r="D220" s="355" t="str">
        <f ca="1">IF(ISERROR(OFFSET('HARGA SATUAN'!$D$6,MATCH(RAB!C220,'HARGA SATUAN'!$C$7:$C$1492,0),0)),"",OFFSET('HARGA SATUAN'!$D$6,MATCH(RAB!C220,'HARGA SATUAN'!$C$7:$C$1492,0),0))</f>
        <v>HDW</v>
      </c>
      <c r="E220" s="356" t="str">
        <f ca="1">IF(B220="+","Unit",IF(ISERROR(OFFSET('HARGA SATUAN'!$E$6,MATCH(RAB!C220,'HARGA SATUAN'!$C$7:$C$1492,0),0)),"",OFFSET('HARGA SATUAN'!$E$6,MATCH(RAB!C220,'HARGA SATUAN'!$C$7:$C$1492,0),0)))</f>
        <v>Set</v>
      </c>
      <c r="F220" s="522">
        <f>F216*1</f>
        <v>1</v>
      </c>
      <c r="G220" s="357">
        <f ca="1">IF(ISERROR(OFFSET('HARGA SATUAN'!$I$6,MATCH(RAB!C220,'HARGA SATUAN'!$C$7:$C$1492,0),0)),0,OFFSET('HARGA SATUAN'!$I$6,MATCH(RAB!C220,'HARGA SATUAN'!$C$7:$C$1492,0),0))</f>
        <v>5300</v>
      </c>
      <c r="H220" s="358">
        <f t="shared" ca="1" si="76"/>
        <v>0</v>
      </c>
      <c r="I220" s="358">
        <f t="shared" ca="1" si="77"/>
        <v>5300</v>
      </c>
      <c r="J220" s="358">
        <f t="shared" ca="1" si="78"/>
        <v>0</v>
      </c>
      <c r="K220" s="359">
        <f t="shared" ca="1" si="79"/>
        <v>5300</v>
      </c>
    </row>
    <row r="221" spans="2:11">
      <c r="B221" s="523">
        <v>5</v>
      </c>
      <c r="C221" s="525" t="s">
        <v>117</v>
      </c>
      <c r="D221" s="355" t="str">
        <f ca="1">IF(ISERROR(OFFSET('HARGA SATUAN'!$D$6,MATCH(RAB!C221,'HARGA SATUAN'!$C$7:$C$1492,0),0)),"",OFFSET('HARGA SATUAN'!$D$6,MATCH(RAB!C221,'HARGA SATUAN'!$C$7:$C$1492,0),0))</f>
        <v>HDW</v>
      </c>
      <c r="E221" s="356" t="str">
        <f ca="1">IF(B221="+","Unit",IF(ISERROR(OFFSET('HARGA SATUAN'!$E$6,MATCH(RAB!C221,'HARGA SATUAN'!$C$7:$C$1492,0),0)),"",OFFSET('HARGA SATUAN'!$E$6,MATCH(RAB!C221,'HARGA SATUAN'!$C$7:$C$1492,0),0)))</f>
        <v>Bh</v>
      </c>
      <c r="F221" s="522">
        <f>F216*1</f>
        <v>1</v>
      </c>
      <c r="G221" s="357">
        <f ca="1">IF(ISERROR(OFFSET('HARGA SATUAN'!$I$6,MATCH(RAB!C221,'HARGA SATUAN'!$C$7:$C$1492,0),0)),0,OFFSET('HARGA SATUAN'!$I$6,MATCH(RAB!C221,'HARGA SATUAN'!$C$7:$C$1492,0),0))</f>
        <v>58600</v>
      </c>
      <c r="H221" s="358">
        <f t="shared" ca="1" si="76"/>
        <v>0</v>
      </c>
      <c r="I221" s="358">
        <f t="shared" ca="1" si="77"/>
        <v>58600</v>
      </c>
      <c r="J221" s="358">
        <f t="shared" ca="1" si="78"/>
        <v>0</v>
      </c>
      <c r="K221" s="359">
        <f t="shared" ca="1" si="79"/>
        <v>58600</v>
      </c>
    </row>
    <row r="222" spans="2:11">
      <c r="B222" s="523">
        <v>6</v>
      </c>
      <c r="C222" s="109" t="s">
        <v>1155</v>
      </c>
      <c r="D222" s="355" t="str">
        <f ca="1">IF(ISERROR(OFFSET('HARGA SATUAN'!$D$6,MATCH(RAB!C222,'HARGA SATUAN'!$C$7:$C$1492,0),0)),"",OFFSET('HARGA SATUAN'!$D$6,MATCH(RAB!C222,'HARGA SATUAN'!$C$7:$C$1492,0),0))</f>
        <v>HDW</v>
      </c>
      <c r="E222" s="356" t="str">
        <f ca="1">IF(B222="+","Unit",IF(ISERROR(OFFSET('HARGA SATUAN'!$E$6,MATCH(RAB!C222,'HARGA SATUAN'!$C$7:$C$1492,0),0)),"",OFFSET('HARGA SATUAN'!$E$6,MATCH(RAB!C222,'HARGA SATUAN'!$C$7:$C$1492,0),0)))</f>
        <v>Set</v>
      </c>
      <c r="F222" s="522">
        <f>F216*2</f>
        <v>2</v>
      </c>
      <c r="G222" s="357">
        <f ca="1">IF(ISERROR(OFFSET('HARGA SATUAN'!$I$6,MATCH(RAB!C222,'HARGA SATUAN'!$C$7:$C$1492,0),0)),0,OFFSET('HARGA SATUAN'!$I$6,MATCH(RAB!C222,'HARGA SATUAN'!$C$7:$C$1492,0),0))</f>
        <v>2900</v>
      </c>
      <c r="H222" s="358">
        <f t="shared" ca="1" si="76"/>
        <v>0</v>
      </c>
      <c r="I222" s="358">
        <f t="shared" ca="1" si="77"/>
        <v>5800</v>
      </c>
      <c r="J222" s="358">
        <f t="shared" ca="1" si="78"/>
        <v>0</v>
      </c>
      <c r="K222" s="359">
        <f t="shared" ca="1" si="79"/>
        <v>5800</v>
      </c>
    </row>
    <row r="223" spans="2:11">
      <c r="B223" s="523">
        <v>7</v>
      </c>
      <c r="C223" s="525" t="s">
        <v>119</v>
      </c>
      <c r="D223" s="355" t="str">
        <f ca="1">IF(ISERROR(OFFSET('HARGA SATUAN'!$D$6,MATCH(RAB!C223,'HARGA SATUAN'!$C$7:$C$1492,0),0)),"",OFFSET('HARGA SATUAN'!$D$6,MATCH(RAB!C223,'HARGA SATUAN'!$C$7:$C$1492,0),0))</f>
        <v>HDW</v>
      </c>
      <c r="E223" s="356" t="str">
        <f ca="1">IF(B223="+","Unit",IF(ISERROR(OFFSET('HARGA SATUAN'!$E$6,MATCH(RAB!C223,'HARGA SATUAN'!$C$7:$C$1492,0),0)),"",OFFSET('HARGA SATUAN'!$E$6,MATCH(RAB!C223,'HARGA SATUAN'!$C$7:$C$1492,0),0)))</f>
        <v>Set</v>
      </c>
      <c r="F223" s="522">
        <f>F216*4</f>
        <v>4</v>
      </c>
      <c r="G223" s="357">
        <f ca="1">IF(ISERROR(OFFSET('HARGA SATUAN'!$I$6,MATCH(RAB!C223,'HARGA SATUAN'!$C$7:$C$1492,0),0)),0,OFFSET('HARGA SATUAN'!$I$6,MATCH(RAB!C223,'HARGA SATUAN'!$C$7:$C$1492,0),0))</f>
        <v>8900</v>
      </c>
      <c r="H223" s="358">
        <f t="shared" ca="1" si="76"/>
        <v>0</v>
      </c>
      <c r="I223" s="358">
        <f t="shared" ca="1" si="77"/>
        <v>35600</v>
      </c>
      <c r="J223" s="358">
        <f t="shared" ca="1" si="78"/>
        <v>0</v>
      </c>
      <c r="K223" s="359">
        <f t="shared" ca="1" si="79"/>
        <v>35600</v>
      </c>
    </row>
    <row r="224" spans="2:11">
      <c r="B224" s="371"/>
      <c r="C224" s="370"/>
      <c r="D224" s="355" t="str">
        <f ca="1">IF(ISERROR(OFFSET('HARGA SATUAN'!$D$6,MATCH(RAB!C224,'HARGA SATUAN'!$C$7:$C$1492,0),0)),"",OFFSET('HARGA SATUAN'!$D$6,MATCH(RAB!C224,'HARGA SATUAN'!$C$7:$C$1492,0),0))</f>
        <v/>
      </c>
      <c r="E224" s="356" t="str">
        <f ca="1">IF(B224="+","Unit",IF(ISERROR(OFFSET('HARGA SATUAN'!$E$6,MATCH(RAB!C224,'HARGA SATUAN'!$C$7:$C$1492,0),0)),"",OFFSET('HARGA SATUAN'!$E$6,MATCH(RAB!C224,'HARGA SATUAN'!$C$7:$C$1492,0),0)))</f>
        <v/>
      </c>
      <c r="F224" s="365"/>
      <c r="G224" s="357">
        <f ca="1">IF(ISERROR(OFFSET('HARGA SATUAN'!$I$6,MATCH(RAB!C224,'HARGA SATUAN'!$C$7:$C$1492,0),0)),0,OFFSET('HARGA SATUAN'!$I$6,MATCH(RAB!C224,'HARGA SATUAN'!$C$7:$C$1492,0),0))</f>
        <v>0</v>
      </c>
      <c r="H224" s="358">
        <f t="shared" ca="1" si="76"/>
        <v>0</v>
      </c>
      <c r="I224" s="358">
        <f t="shared" ca="1" si="77"/>
        <v>0</v>
      </c>
      <c r="J224" s="358">
        <f t="shared" ca="1" si="78"/>
        <v>0</v>
      </c>
      <c r="K224" s="359">
        <f t="shared" ca="1" si="79"/>
        <v>0</v>
      </c>
    </row>
    <row r="225" spans="2:13">
      <c r="B225" s="363" t="s">
        <v>22</v>
      </c>
      <c r="C225" s="364" t="s">
        <v>1613</v>
      </c>
      <c r="D225" s="355" t="str">
        <f ca="1">IF(ISERROR(OFFSET('HARGA SATUAN'!$D$6,MATCH(RAB!C225,'HARGA SATUAN'!$C$7:$C$1492,0),0)),"",OFFSET('HARGA SATUAN'!$D$6,MATCH(RAB!C225,'HARGA SATUAN'!$C$7:$C$1492,0),0))</f>
        <v/>
      </c>
      <c r="E225" s="356" t="str">
        <f ca="1">IF(B225="+","Unit",IF(ISERROR(OFFSET('HARGA SATUAN'!$E$6,MATCH(RAB!C225,'HARGA SATUAN'!$C$7:$C$1492,0),0)),"",OFFSET('HARGA SATUAN'!$E$6,MATCH(RAB!C225,'HARGA SATUAN'!$C$7:$C$1492,0),0)))</f>
        <v/>
      </c>
      <c r="F225" s="365"/>
      <c r="G225" s="357">
        <f ca="1">IF(ISERROR(OFFSET('HARGA SATUAN'!$I$6,MATCH(RAB!C225,'HARGA SATUAN'!$C$7:$C$1492,0),0)),0,OFFSET('HARGA SATUAN'!$I$6,MATCH(RAB!C225,'HARGA SATUAN'!$C$7:$C$1492,0),0))</f>
        <v>0</v>
      </c>
      <c r="H225" s="358">
        <f t="shared" ref="H225:H230" ca="1" si="80">IF(OR(D225="MDU",D225="MDU-KD"),(IF($O$3="RAB NON MDU","PLN KD",G225*F225)),0)</f>
        <v>0</v>
      </c>
      <c r="I225" s="358">
        <f t="shared" ref="I225:I230" ca="1" si="81">IF(D225="HDW",G225*F225,0)</f>
        <v>0</v>
      </c>
      <c r="J225" s="358">
        <f t="shared" ref="J225:J230" ca="1" si="82">IF(D225="JASA",G225*F225,0)</f>
        <v>0</v>
      </c>
      <c r="K225" s="359">
        <f t="shared" ref="K225:K230" ca="1" si="83">SUM(H225:J225)</f>
        <v>0</v>
      </c>
    </row>
    <row r="226" spans="2:13">
      <c r="B226" s="371"/>
      <c r="C226" s="370"/>
      <c r="D226" s="355" t="str">
        <f ca="1">IF(ISERROR(OFFSET('HARGA SATUAN'!$D$6,MATCH(RAB!C226,'HARGA SATUAN'!$C$7:$C$1492,0),0)),"",OFFSET('HARGA SATUAN'!$D$6,MATCH(RAB!C226,'HARGA SATUAN'!$C$7:$C$1492,0),0))</f>
        <v/>
      </c>
      <c r="E226" s="356" t="str">
        <f ca="1">IF(B226="+","Unit",IF(ISERROR(OFFSET('HARGA SATUAN'!$E$6,MATCH(RAB!C226,'HARGA SATUAN'!$C$7:$C$1492,0),0)),"",OFFSET('HARGA SATUAN'!$E$6,MATCH(RAB!C226,'HARGA SATUAN'!$C$7:$C$1492,0),0)))</f>
        <v/>
      </c>
      <c r="F226" s="365"/>
      <c r="G226" s="357">
        <f ca="1">IF(ISERROR(OFFSET('HARGA SATUAN'!$I$6,MATCH(RAB!C226,'HARGA SATUAN'!$C$7:$C$1492,0),0)),0,OFFSET('HARGA SATUAN'!$I$6,MATCH(RAB!C226,'HARGA SATUAN'!$C$7:$C$1492,0),0))</f>
        <v>0</v>
      </c>
      <c r="H226" s="358">
        <f t="shared" ca="1" si="80"/>
        <v>0</v>
      </c>
      <c r="I226" s="358">
        <f t="shared" ca="1" si="81"/>
        <v>0</v>
      </c>
      <c r="J226" s="358">
        <f t="shared" ca="1" si="82"/>
        <v>0</v>
      </c>
      <c r="K226" s="359">
        <f t="shared" ca="1" si="83"/>
        <v>0</v>
      </c>
    </row>
    <row r="227" spans="2:13">
      <c r="B227" s="371">
        <v>1</v>
      </c>
      <c r="C227" s="109" t="s">
        <v>353</v>
      </c>
      <c r="D227" s="355" t="str">
        <f ca="1">IF(ISERROR(OFFSET('HARGA SATUAN'!$D$6,MATCH(RAB!C227,'HARGA SATUAN'!$C$7:$C$1492,0),0)),"",OFFSET('HARGA SATUAN'!$D$6,MATCH(RAB!C227,'HARGA SATUAN'!$C$7:$C$1492,0),0))</f>
        <v>JASA</v>
      </c>
      <c r="E227" s="356" t="str">
        <f ca="1">IF(B227="+","Unit",IF(ISERROR(OFFSET('HARGA SATUAN'!$E$6,MATCH(RAB!C227,'HARGA SATUAN'!$C$7:$C$1492,0),0)),"",OFFSET('HARGA SATUAN'!$E$6,MATCH(RAB!C227,'HARGA SATUAN'!$C$7:$C$1492,0),0)))</f>
        <v>Btg</v>
      </c>
      <c r="F227" s="365">
        <v>6</v>
      </c>
      <c r="G227" s="357">
        <f ca="1">IF(ISERROR(OFFSET('HARGA SATUAN'!$I$6,MATCH(RAB!C227,'HARGA SATUAN'!$C$7:$C$1492,0),0)),0,OFFSET('HARGA SATUAN'!$I$6,MATCH(RAB!C227,'HARGA SATUAN'!$C$7:$C$1492,0),0))</f>
        <v>542850</v>
      </c>
      <c r="H227" s="358">
        <f t="shared" ca="1" si="80"/>
        <v>0</v>
      </c>
      <c r="I227" s="358">
        <f t="shared" ca="1" si="81"/>
        <v>0</v>
      </c>
      <c r="J227" s="358">
        <f t="shared" ca="1" si="82"/>
        <v>3257100</v>
      </c>
      <c r="K227" s="359">
        <f t="shared" ca="1" si="83"/>
        <v>3257100</v>
      </c>
    </row>
    <row r="228" spans="2:13">
      <c r="B228" s="371">
        <v>2</v>
      </c>
      <c r="C228" s="532" t="s">
        <v>813</v>
      </c>
      <c r="D228" s="355" t="str">
        <f ca="1">IF(ISERROR(OFFSET('HARGA SATUAN'!$D$6,MATCH(RAB!C228,'HARGA SATUAN'!$C$7:$C$1492,0),0)),"",OFFSET('HARGA SATUAN'!$D$6,MATCH(RAB!C228,'HARGA SATUAN'!$C$7:$C$1492,0),0))</f>
        <v>JASA</v>
      </c>
      <c r="E228" s="356" t="str">
        <f ca="1">IF(B228="+","Unit",IF(ISERROR(OFFSET('HARGA SATUAN'!$E$6,MATCH(RAB!C228,'HARGA SATUAN'!$C$7:$C$1492,0),0)),"",OFFSET('HARGA SATUAN'!$E$6,MATCH(RAB!C228,'HARGA SATUAN'!$C$7:$C$1492,0),0)))</f>
        <v>Unit</v>
      </c>
      <c r="F228" s="365">
        <v>5</v>
      </c>
      <c r="G228" s="357">
        <f ca="1">IF(ISERROR(OFFSET('HARGA SATUAN'!$I$6,MATCH(RAB!C228,'HARGA SATUAN'!$C$7:$C$1492,0),0)),0,OFFSET('HARGA SATUAN'!$I$6,MATCH(RAB!C228,'HARGA SATUAN'!$C$7:$C$1492,0),0))</f>
        <v>13320</v>
      </c>
      <c r="H228" s="358">
        <f t="shared" ca="1" si="80"/>
        <v>0</v>
      </c>
      <c r="I228" s="358">
        <f t="shared" ca="1" si="81"/>
        <v>0</v>
      </c>
      <c r="J228" s="358">
        <f t="shared" ca="1" si="82"/>
        <v>66600</v>
      </c>
      <c r="K228" s="359">
        <f t="shared" ca="1" si="83"/>
        <v>66600</v>
      </c>
    </row>
    <row r="229" spans="2:13">
      <c r="B229" s="371">
        <v>3</v>
      </c>
      <c r="C229" s="532" t="s">
        <v>814</v>
      </c>
      <c r="D229" s="355" t="str">
        <f ca="1">IF(ISERROR(OFFSET('HARGA SATUAN'!$D$6,MATCH(RAB!C229,'HARGA SATUAN'!$C$7:$C$1492,0),0)),"",OFFSET('HARGA SATUAN'!$D$6,MATCH(RAB!C229,'HARGA SATUAN'!$C$7:$C$1492,0),0))</f>
        <v>JASA</v>
      </c>
      <c r="E229" s="356" t="str">
        <f ca="1">IF(B229="+","Unit",IF(ISERROR(OFFSET('HARGA SATUAN'!$E$6,MATCH(RAB!C229,'HARGA SATUAN'!$C$7:$C$1492,0),0)),"",OFFSET('HARGA SATUAN'!$E$6,MATCH(RAB!C229,'HARGA SATUAN'!$C$7:$C$1492,0),0)))</f>
        <v>Unit</v>
      </c>
      <c r="F229" s="365">
        <v>2</v>
      </c>
      <c r="G229" s="357">
        <f ca="1">IF(ISERROR(OFFSET('HARGA SATUAN'!$I$6,MATCH(RAB!C229,'HARGA SATUAN'!$C$7:$C$1492,0),0)),0,OFFSET('HARGA SATUAN'!$I$6,MATCH(RAB!C229,'HARGA SATUAN'!$C$7:$C$1492,0),0))</f>
        <v>18180</v>
      </c>
      <c r="H229" s="358">
        <f t="shared" ca="1" si="80"/>
        <v>0</v>
      </c>
      <c r="I229" s="358">
        <f t="shared" ca="1" si="81"/>
        <v>0</v>
      </c>
      <c r="J229" s="358">
        <f t="shared" ca="1" si="82"/>
        <v>36360</v>
      </c>
      <c r="K229" s="359">
        <f t="shared" ca="1" si="83"/>
        <v>36360</v>
      </c>
    </row>
    <row r="230" spans="2:13">
      <c r="B230" s="371">
        <v>4</v>
      </c>
      <c r="C230" s="532" t="s">
        <v>813</v>
      </c>
      <c r="D230" s="355" t="str">
        <f ca="1">IF(ISERROR(OFFSET('HARGA SATUAN'!$D$6,MATCH(RAB!C230,'HARGA SATUAN'!$C$7:$C$1492,0),0)),"",OFFSET('HARGA SATUAN'!$D$6,MATCH(RAB!C230,'HARGA SATUAN'!$C$7:$C$1492,0),0))</f>
        <v>JASA</v>
      </c>
      <c r="E230" s="356" t="str">
        <f ca="1">IF(B230="+","Unit",IF(ISERROR(OFFSET('HARGA SATUAN'!$E$6,MATCH(RAB!C230,'HARGA SATUAN'!$C$7:$C$1492,0),0)),"",OFFSET('HARGA SATUAN'!$E$6,MATCH(RAB!C230,'HARGA SATUAN'!$C$7:$C$1492,0),0)))</f>
        <v>Unit</v>
      </c>
      <c r="F230" s="365">
        <v>2</v>
      </c>
      <c r="G230" s="357">
        <f ca="1">IF(ISERROR(OFFSET('HARGA SATUAN'!$I$6,MATCH(RAB!C230,'HARGA SATUAN'!$C$7:$C$1492,0),0)),0,OFFSET('HARGA SATUAN'!$I$6,MATCH(RAB!C230,'HARGA SATUAN'!$C$7:$C$1492,0),0))</f>
        <v>13320</v>
      </c>
      <c r="H230" s="358">
        <f t="shared" ca="1" si="80"/>
        <v>0</v>
      </c>
      <c r="I230" s="358">
        <f t="shared" ca="1" si="81"/>
        <v>0</v>
      </c>
      <c r="J230" s="358">
        <f t="shared" ca="1" si="82"/>
        <v>26640</v>
      </c>
      <c r="K230" s="359">
        <f t="shared" ca="1" si="83"/>
        <v>26640</v>
      </c>
    </row>
    <row r="231" spans="2:13">
      <c r="B231" s="371">
        <v>5</v>
      </c>
      <c r="C231" s="532" t="s">
        <v>814</v>
      </c>
      <c r="D231" s="355" t="str">
        <f ca="1">IF(ISERROR(OFFSET('HARGA SATUAN'!$D$6,MATCH(RAB!C231,'HARGA SATUAN'!$C$7:$C$1492,0),0)),"",OFFSET('HARGA SATUAN'!$D$6,MATCH(RAB!C231,'HARGA SATUAN'!$C$7:$C$1492,0),0))</f>
        <v>JASA</v>
      </c>
      <c r="E231" s="356" t="str">
        <f ca="1">IF(B231="+","Unit",IF(ISERROR(OFFSET('HARGA SATUAN'!$E$6,MATCH(RAB!C231,'HARGA SATUAN'!$C$7:$C$1492,0),0)),"",OFFSET('HARGA SATUAN'!$E$6,MATCH(RAB!C231,'HARGA SATUAN'!$C$7:$C$1492,0),0)))</f>
        <v>Unit</v>
      </c>
      <c r="F231" s="365">
        <v>1</v>
      </c>
      <c r="G231" s="357">
        <f ca="1">IF(ISERROR(OFFSET('HARGA SATUAN'!$I$6,MATCH(RAB!C231,'HARGA SATUAN'!$C$7:$C$1492,0),0)),0,OFFSET('HARGA SATUAN'!$I$6,MATCH(RAB!C231,'HARGA SATUAN'!$C$7:$C$1492,0),0))</f>
        <v>18180</v>
      </c>
      <c r="H231" s="358">
        <f t="shared" ref="H231" ca="1" si="84">IF(OR(D231="MDU",D231="MDU-KD"),(IF($O$3="RAB NON MDU","PLN KD",G231*F231)),0)</f>
        <v>0</v>
      </c>
      <c r="I231" s="358">
        <f t="shared" ref="I231" ca="1" si="85">IF(D231="HDW",G231*F231,0)</f>
        <v>0</v>
      </c>
      <c r="J231" s="358">
        <f t="shared" ref="J231" ca="1" si="86">IF(D231="JASA",G231*F231,0)</f>
        <v>18180</v>
      </c>
      <c r="K231" s="359">
        <f t="shared" ref="K231" ca="1" si="87">SUM(H231:J231)</f>
        <v>18180</v>
      </c>
    </row>
    <row r="232" spans="2:13">
      <c r="B232" s="371"/>
      <c r="C232" s="370"/>
      <c r="D232" s="355"/>
      <c r="E232" s="356"/>
      <c r="F232" s="365"/>
      <c r="G232" s="357"/>
      <c r="H232" s="358"/>
      <c r="I232" s="358"/>
      <c r="J232" s="358"/>
      <c r="K232" s="359"/>
    </row>
    <row r="233" spans="2:13">
      <c r="B233" s="372"/>
      <c r="C233" s="373" t="s">
        <v>475</v>
      </c>
      <c r="D233" s="355" t="str">
        <f ca="1">IF(ISERROR(OFFSET('HARGA SATUAN'!$D$6,MATCH(RAB!C233,'HARGA SATUAN'!$C$7:$C$1492,0),0)),"",OFFSET('HARGA SATUAN'!$D$6,MATCH(RAB!C233,'HARGA SATUAN'!$C$7:$C$1492,0),0))</f>
        <v/>
      </c>
      <c r="E233" s="356" t="str">
        <f ca="1">IF(B233="+","Unit",IF(ISERROR(OFFSET('HARGA SATUAN'!$E$6,MATCH(RAB!C233,'HARGA SATUAN'!$C$7:$C$1492,0),0)),"",OFFSET('HARGA SATUAN'!$E$6,MATCH(RAB!C233,'HARGA SATUAN'!$C$7:$C$1492,0),0)))</f>
        <v/>
      </c>
      <c r="F233" s="365"/>
      <c r="G233" s="357">
        <f ca="1">IF(ISERROR(OFFSET('HARGA SATUAN'!$I$6,MATCH(RAB!C233,'HARGA SATUAN'!$C$7:$C$1492,0),0)),0,OFFSET('HARGA SATUAN'!$I$6,MATCH(RAB!C233,'HARGA SATUAN'!$C$7:$C$1492,0),0))</f>
        <v>0</v>
      </c>
      <c r="H233" s="358">
        <f t="shared" ca="1" si="72"/>
        <v>0</v>
      </c>
      <c r="I233" s="358">
        <f t="shared" ca="1" si="73"/>
        <v>0</v>
      </c>
      <c r="J233" s="358">
        <f t="shared" ca="1" si="74"/>
        <v>0</v>
      </c>
      <c r="K233" s="359">
        <f t="shared" ca="1" si="75"/>
        <v>0</v>
      </c>
    </row>
    <row r="234" spans="2:13">
      <c r="B234" s="375">
        <v>1</v>
      </c>
      <c r="C234" s="376" t="s">
        <v>1091</v>
      </c>
      <c r="D234" s="377" t="str">
        <f ca="1">IF(ISERROR(OFFSET('HARGA SATUAN'!$D$6,MATCH(RAB!C234,'HARGA SATUAN'!$C$7:$C$1492,0),0)),"",OFFSET('HARGA SATUAN'!$D$6,MATCH(RAB!C234,'HARGA SATUAN'!$C$7:$C$1492,0),0))</f>
        <v>JASA</v>
      </c>
      <c r="E234" s="378" t="str">
        <f ca="1">IF(ISERROR(OFFSET('HARGA SATUAN'!$E$6,MATCH(RAB!C234,'HARGA SATUAN'!$C$7:$C$1492,0),0)),"",OFFSET('HARGA SATUAN'!$E$6,MATCH(RAB!C234,'HARGA SATUAN'!$C$7:$C$1492,0),0))</f>
        <v>Lot</v>
      </c>
      <c r="F234" s="379">
        <v>1</v>
      </c>
      <c r="G234" s="380">
        <f ca="1">IF(ISERROR(OFFSET('HARGA SATUAN'!$I$6,MATCH(RAB!C234,'HARGA SATUAN'!$C$7:$C$1492,0),0)),0,OFFSET('HARGA SATUAN'!$I$6,MATCH(RAB!C234,'HARGA SATUAN'!$C$7:$C$1492,0),0))</f>
        <v>2.5000000000000001E-2</v>
      </c>
      <c r="H234" s="381"/>
      <c r="I234" s="381"/>
      <c r="J234" s="381">
        <f ca="1">SUM(K15:K31)*G234</f>
        <v>1138149.2666666666</v>
      </c>
      <c r="K234" s="382">
        <f ca="1">SUM(H234:J234)</f>
        <v>1138149.2666666666</v>
      </c>
    </row>
    <row r="235" spans="2:13">
      <c r="B235" s="383"/>
      <c r="C235" s="384"/>
      <c r="D235" s="355" t="str">
        <f ca="1">IF(ISERROR(OFFSET('HARGA SATUAN'!$D$6,MATCH(RAB!C235,'HARGA SATUAN'!$C$7:$C$1492,0),0)),"",OFFSET('HARGA SATUAN'!$D$6,MATCH(RAB!C235,'HARGA SATUAN'!$C$7:$C$1492,0),0))</f>
        <v/>
      </c>
      <c r="E235" s="356" t="str">
        <f ca="1">IF(ISERROR(OFFSET('HARGA SATUAN'!$E$6,MATCH(RAB!C235,'HARGA SATUAN'!$C$7:$C$1492,0),0)),"",OFFSET('HARGA SATUAN'!$E$6,MATCH(RAB!C235,'HARGA SATUAN'!$C$7:$C$1492,0),0))</f>
        <v/>
      </c>
      <c r="F235" s="374"/>
      <c r="G235" s="357" t="str">
        <f ca="1">IF(ISERROR(OFFSET('HARGA SATUAN'!$I$6,MATCH(RAB!C235,'HARGA SATUAN'!$C$7:$C$1492,0),0)),"",OFFSET('HARGA SATUAN'!$I$6,MATCH(RAB!C235,'HARGA SATUAN'!$C$7:$C$1492,0),0))</f>
        <v/>
      </c>
      <c r="H235" s="358">
        <f ca="1">IF(OR(D235="MDU",D235="MDU-KD"),IF(G235="PLN",0,G235*F235),0)</f>
        <v>0</v>
      </c>
      <c r="I235" s="358">
        <f ca="1">IF(D235="HDW",IF(G235="PLN",0,G235*F235),0)</f>
        <v>0</v>
      </c>
      <c r="J235" s="358">
        <f ca="1">IF(D235="JASA",IF(G235="PLN",0,G235*F235),0)</f>
        <v>0</v>
      </c>
      <c r="K235" s="359">
        <f ca="1">SUM(H235:J235)</f>
        <v>0</v>
      </c>
    </row>
    <row r="236" spans="2:13" ht="15.75" thickBot="1">
      <c r="B236" s="385"/>
      <c r="C236" s="386"/>
      <c r="D236" s="387"/>
      <c r="E236" s="388"/>
      <c r="F236" s="388"/>
      <c r="G236" s="388"/>
      <c r="H236" s="389"/>
      <c r="I236" s="389"/>
      <c r="J236" s="389"/>
      <c r="K236" s="390"/>
    </row>
    <row r="237" spans="2:13">
      <c r="B237" s="391"/>
      <c r="C237" s="636" t="s">
        <v>1008</v>
      </c>
      <c r="D237" s="636"/>
      <c r="E237" s="636"/>
      <c r="F237" s="636"/>
      <c r="G237" s="392" t="s">
        <v>9</v>
      </c>
      <c r="H237" s="393">
        <f ca="1">SUM(H14:H235)</f>
        <v>102322600</v>
      </c>
      <c r="I237" s="393">
        <f ca="1">SUM(I14:I235)</f>
        <v>62484321.973333336</v>
      </c>
      <c r="J237" s="393">
        <f ca="1">SUM(J14:J235)</f>
        <v>15042655.933333334</v>
      </c>
      <c r="K237" s="393">
        <f ca="1">SUM(K14:K235)</f>
        <v>179849577.90666667</v>
      </c>
    </row>
    <row r="238" spans="2:13">
      <c r="B238" s="395"/>
      <c r="C238" s="653" t="s">
        <v>1457</v>
      </c>
      <c r="D238" s="653"/>
      <c r="E238" s="653"/>
      <c r="F238" s="653"/>
      <c r="G238" s="396" t="s">
        <v>9</v>
      </c>
      <c r="H238" s="397">
        <f ca="1">H237*0.11</f>
        <v>11255486</v>
      </c>
      <c r="I238" s="397">
        <f ca="1">I237*0.11</f>
        <v>6873275.4170666672</v>
      </c>
      <c r="J238" s="397">
        <f ca="1">J237*0.11</f>
        <v>1654692.1526666668</v>
      </c>
      <c r="K238" s="397">
        <f ca="1">K237*0.11</f>
        <v>19783453.569733333</v>
      </c>
    </row>
    <row r="239" spans="2:13" ht="15.75" thickBot="1">
      <c r="B239" s="395"/>
      <c r="C239" s="650" t="s">
        <v>463</v>
      </c>
      <c r="D239" s="650"/>
      <c r="E239" s="650"/>
      <c r="F239" s="650"/>
      <c r="G239" s="398" t="s">
        <v>9</v>
      </c>
      <c r="H239" s="399">
        <f ca="1">SUM(H237:H238)</f>
        <v>113578086</v>
      </c>
      <c r="I239" s="399">
        <f ca="1">SUM(I237:I238)</f>
        <v>69357597.390400007</v>
      </c>
      <c r="J239" s="398">
        <f ca="1">SUM(J237:J238)</f>
        <v>16697348.086000001</v>
      </c>
      <c r="K239" s="398">
        <f ca="1">SUM(K237:K238)</f>
        <v>199633031.47639999</v>
      </c>
      <c r="M239" s="477"/>
    </row>
    <row r="240" spans="2:13">
      <c r="B240" s="654" t="str">
        <f ca="1">"Terbilang : "&amp;PROPER(IF(K239=0,"nol",IF(K239&lt;0,"minus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IF(--MID(TEXT(ABS(K239),"000000000000000"),1,3)=0,"",MID(TEXT(ABS(K239),"000000000000000"),1,1)&amp;" ratus "&amp;MID(TEXT(ABS(K239),"000000000000000"),2,1)&amp;" puluh "&amp;MID(TEXT(ABS(K239),"000000000000000"),3,1)&amp;" trilyun ")&amp; IF(--MID(TEXT(ABS(K239),"000000000000000"),4,3)=0,"",MID(TEXT(ABS(K239),"000000000000000"),4,1)&amp;" ratus "&amp;MID(TEXT(ABS(K239),"000000000000000"),5,1)&amp;" puluh "&amp;MID(TEXT(ABS(K239),"000000000000000"),6,1)&amp;" milyar ")&amp; IF(--MID(TEXT(ABS(K239),"000000000000000"),7,3)=0,"",MID(TEXT(ABS(K239),"000000000000000"),7,1)&amp;" ratus "&amp;MID(TEXT(ABS(K239),"000000000000000"),8,1)&amp;" puluh "&amp;MID(TEXT(ABS(K239),"000000000000000"),9,1)&amp;" juta ")&amp; IF(--MID(TEXT(ABS(K239),"000000000000000"),10,3)=0,"",IF(--MID(TEXT(ABS(K239),"000000000000000"),10,3)=1,"*",MID(TEXT(ABS(K239),"000000000000000"),10,1)&amp;" ratus "&amp;MID(TEXT(ABS(K239),"000000000000000"),11,1)&amp;" puluh ")&amp;MID(TEXT(ABS(K239),"000000000000000"),12,1)&amp;" ribu ")&amp; IF(--MID(TEXT(ABS(K239),"000000000000000"),13,3)=0,"",MID(TEXT(ABS(K239),"000000000000000"),13,1)&amp;" ratus "&amp;MID(TEXT(ABS(K239),"000000000000000"),14,1)&amp;" puluh "&amp;MID(TEXT(ABS(K239),"000000000000000"),15,1)),1,"satu"),2,"dua"),3,"tiga"),4,"empat"),5,"lima"),6,"enam"),7,"tujuh"),8,"delapan"),9,"sembilan"),"0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Sembilan Puluh Sembilan Juta Enam Ratus Tiga Puluh Tiga Ribu Tiga Puluh Satu Rupiah</v>
      </c>
      <c r="C240" s="655"/>
      <c r="D240" s="655"/>
      <c r="E240" s="655"/>
      <c r="F240" s="655"/>
      <c r="G240" s="655"/>
      <c r="H240" s="655"/>
      <c r="I240" s="655"/>
      <c r="J240" s="655"/>
      <c r="K240" s="656"/>
    </row>
    <row r="241" spans="2:11">
      <c r="B241" s="657"/>
      <c r="C241" s="658"/>
      <c r="D241" s="658"/>
      <c r="E241" s="658"/>
      <c r="F241" s="658"/>
      <c r="G241" s="658"/>
      <c r="H241" s="658"/>
      <c r="I241" s="658"/>
      <c r="J241" s="658"/>
      <c r="K241" s="659"/>
    </row>
    <row r="242" spans="2:11" ht="15.75" thickBot="1">
      <c r="B242" s="400" t="str">
        <f>"Harga yang dipakai adalah "&amp;'HARGA SATUAN'!I5&amp;""</f>
        <v>Harga yang dipakai adalah RAB HSS 2023</v>
      </c>
      <c r="C242" s="401"/>
      <c r="D242" s="402"/>
      <c r="E242" s="402"/>
      <c r="F242" s="402"/>
      <c r="G242" s="403"/>
      <c r="H242" s="403"/>
      <c r="I242" s="403"/>
      <c r="J242" s="403"/>
      <c r="K242" s="404"/>
    </row>
    <row r="243" spans="2:11">
      <c r="C243" s="405"/>
      <c r="E243" s="407"/>
      <c r="F243" s="407"/>
      <c r="G243" s="407"/>
    </row>
    <row r="244" spans="2:11">
      <c r="C244" s="334"/>
      <c r="E244" s="407"/>
      <c r="F244" s="407"/>
      <c r="G244" s="407"/>
      <c r="H244" s="660"/>
      <c r="I244" s="660"/>
      <c r="J244" s="661"/>
      <c r="K244" s="661"/>
    </row>
    <row r="245" spans="2:11">
      <c r="C245" s="334"/>
      <c r="E245" s="407"/>
      <c r="F245" s="407"/>
      <c r="G245" s="407"/>
      <c r="H245" s="408"/>
      <c r="I245" s="649" t="s">
        <v>1654</v>
      </c>
      <c r="J245" s="649"/>
      <c r="K245" s="649"/>
    </row>
    <row r="246" spans="2:11">
      <c r="C246" s="334"/>
      <c r="E246" s="407"/>
      <c r="F246" s="407"/>
      <c r="G246" s="407"/>
      <c r="H246" s="408"/>
      <c r="I246" s="649" t="s">
        <v>1655</v>
      </c>
      <c r="J246" s="649"/>
      <c r="K246" s="649"/>
    </row>
    <row r="247" spans="2:11">
      <c r="C247" s="334"/>
      <c r="E247" s="407"/>
      <c r="F247" s="407"/>
      <c r="G247" s="407"/>
      <c r="H247" s="409"/>
      <c r="I247" s="410"/>
      <c r="J247" s="410"/>
      <c r="K247" s="410"/>
    </row>
    <row r="248" spans="2:11">
      <c r="C248" s="334"/>
      <c r="E248" s="407"/>
      <c r="F248" s="407"/>
      <c r="G248" s="407"/>
      <c r="H248" s="409"/>
      <c r="I248" s="409"/>
      <c r="J248" s="409"/>
      <c r="K248" s="409"/>
    </row>
    <row r="249" spans="2:11">
      <c r="C249" s="334"/>
      <c r="E249" s="407"/>
      <c r="F249" s="407"/>
      <c r="G249" s="407"/>
      <c r="H249" s="409"/>
      <c r="I249" s="409"/>
      <c r="J249" s="409"/>
      <c r="K249" s="409"/>
    </row>
    <row r="250" spans="2:11">
      <c r="C250" s="334"/>
      <c r="E250" s="407"/>
      <c r="F250" s="407"/>
      <c r="G250" s="407"/>
      <c r="H250" s="409"/>
      <c r="I250" s="409"/>
      <c r="J250" s="409"/>
      <c r="K250" s="409"/>
    </row>
    <row r="251" spans="2:11">
      <c r="C251" s="334"/>
      <c r="E251" s="407"/>
      <c r="F251" s="407"/>
      <c r="G251" s="407"/>
      <c r="H251" s="411"/>
      <c r="I251" s="649" t="s">
        <v>1656</v>
      </c>
      <c r="J251" s="649"/>
      <c r="K251" s="649"/>
    </row>
    <row r="252" spans="2:11">
      <c r="C252" s="405"/>
      <c r="E252" s="407"/>
      <c r="F252" s="407"/>
      <c r="G252" s="407"/>
      <c r="H252" s="409"/>
      <c r="I252" s="409"/>
      <c r="J252" s="409"/>
      <c r="K252" s="409"/>
    </row>
    <row r="253" spans="2:11">
      <c r="C253" s="405"/>
      <c r="E253" s="407"/>
      <c r="F253" s="407"/>
      <c r="G253" s="407"/>
      <c r="H253" s="409"/>
      <c r="I253" s="409"/>
      <c r="J253" s="409"/>
      <c r="K253" s="409"/>
    </row>
    <row r="254" spans="2:11">
      <c r="C254" s="405"/>
      <c r="E254" s="407"/>
      <c r="F254" s="407"/>
      <c r="G254" s="407"/>
      <c r="H254" s="409"/>
      <c r="I254" s="409"/>
      <c r="J254" s="409"/>
      <c r="K254" s="409"/>
    </row>
  </sheetData>
  <sheetProtection sort="0" autoFilter="0"/>
  <protectedRanges>
    <protectedRange sqref="B202:B224 B226:B232" name="Range1_1"/>
    <protectedRange sqref="F98 F14:F40 F70:F92 F201:F233" name="Range1_1_2_2"/>
    <protectedRange sqref="C232 C226 C202:C204 C207:C224" name="Range1_1_1"/>
    <protectedRange sqref="B24:C25 B99:C99 B26 B91:C92 B120:C120" name="Range1_6"/>
    <protectedRange sqref="B157:C158 B151:C151 B163 B119:C119 B159 B156 B154:C155 B148:B150 B160:C162 B185:C188 B200:C201 B121:C121 B124:C124 B122:B123 B164:C174 B189 B126:C147 C228:C231" name="Range1_6_2"/>
    <protectedRange sqref="C17:C19" name="Range1_1_3"/>
    <protectedRange sqref="C20:C21" name="Range1_1_3_2"/>
    <protectedRange sqref="C205" name="Range1_1_3_7"/>
    <protectedRange sqref="C72" name="Range1_1_3_4"/>
    <protectedRange sqref="C94 C26:C27 C58 C42:C43" name="Range1_1_3_5"/>
    <protectedRange sqref="C156" name="Range1_1_3_8"/>
    <protectedRange sqref="C122" name="Range1_1_3_1"/>
    <protectedRange sqref="C123" name="Range1_1_3_6"/>
    <protectedRange sqref="C189 C206" name="Range1_1_3_9"/>
    <protectedRange sqref="C159" name="Range1_1_3_3"/>
    <protectedRange sqref="C163" name="Range1_1_3_11"/>
    <protectedRange sqref="C148" name="Range1_1_3_12"/>
    <protectedRange sqref="C149" name="Range1_1_3_13"/>
    <protectedRange sqref="C150 C227" name="Range1_1_3_14"/>
  </protectedRanges>
  <mergeCells count="22">
    <mergeCell ref="I246:K246"/>
    <mergeCell ref="I251:K251"/>
    <mergeCell ref="C239:F239"/>
    <mergeCell ref="G6:K6"/>
    <mergeCell ref="I245:K245"/>
    <mergeCell ref="C238:F238"/>
    <mergeCell ref="B240:K241"/>
    <mergeCell ref="H244:K244"/>
    <mergeCell ref="H11:K11"/>
    <mergeCell ref="H12:H13"/>
    <mergeCell ref="J12:J13"/>
    <mergeCell ref="K12:K13"/>
    <mergeCell ref="O3:P4"/>
    <mergeCell ref="B4:K4"/>
    <mergeCell ref="C237:F237"/>
    <mergeCell ref="B11:B13"/>
    <mergeCell ref="C11:C13"/>
    <mergeCell ref="D11:D13"/>
    <mergeCell ref="E11:E13"/>
    <mergeCell ref="F11:F13"/>
    <mergeCell ref="G11:G13"/>
    <mergeCell ref="I12:I13"/>
  </mergeCells>
  <phoneticPr fontId="141" type="noConversion"/>
  <conditionalFormatting sqref="C15">
    <cfRule type="cellIs" dxfId="25" priority="489" operator="equal">
      <formula>0</formula>
    </cfRule>
  </conditionalFormatting>
  <conditionalFormatting sqref="C17:C21">
    <cfRule type="cellIs" dxfId="24" priority="102" operator="equal">
      <formula>0</formula>
    </cfRule>
  </conditionalFormatting>
  <conditionalFormatting sqref="C23">
    <cfRule type="cellIs" dxfId="23" priority="116" operator="equal">
      <formula>0</formula>
    </cfRule>
  </conditionalFormatting>
  <conditionalFormatting sqref="C26:C27">
    <cfRule type="cellIs" dxfId="22" priority="51" operator="equal">
      <formula>0</formula>
    </cfRule>
  </conditionalFormatting>
  <conditionalFormatting sqref="C42:C43">
    <cfRule type="cellIs" dxfId="21" priority="15" operator="equal">
      <formula>0</formula>
    </cfRule>
  </conditionalFormatting>
  <conditionalFormatting sqref="C58">
    <cfRule type="cellIs" dxfId="20" priority="17" operator="equal">
      <formula>0</formula>
    </cfRule>
  </conditionalFormatting>
  <conditionalFormatting sqref="C72">
    <cfRule type="cellIs" dxfId="19" priority="48" operator="equal">
      <formula>0</formula>
    </cfRule>
  </conditionalFormatting>
  <conditionalFormatting sqref="C94">
    <cfRule type="cellIs" dxfId="18" priority="41" operator="equal">
      <formula>0</formula>
    </cfRule>
  </conditionalFormatting>
  <conditionalFormatting sqref="C122:C123">
    <cfRule type="cellIs" dxfId="17" priority="32" operator="equal">
      <formula>0</formula>
    </cfRule>
  </conditionalFormatting>
  <conditionalFormatting sqref="C125">
    <cfRule type="cellIs" dxfId="16" priority="8" operator="equal">
      <formula>0</formula>
    </cfRule>
  </conditionalFormatting>
  <conditionalFormatting sqref="C148:C150">
    <cfRule type="cellIs" dxfId="15" priority="3" operator="equal">
      <formula>0</formula>
    </cfRule>
  </conditionalFormatting>
  <conditionalFormatting sqref="C152:C153">
    <cfRule type="cellIs" dxfId="14" priority="114" operator="equal">
      <formula>0</formula>
    </cfRule>
  </conditionalFormatting>
  <conditionalFormatting sqref="C156">
    <cfRule type="cellIs" dxfId="13" priority="14" operator="equal">
      <formula>0</formula>
    </cfRule>
  </conditionalFormatting>
  <conditionalFormatting sqref="C159:C160">
    <cfRule type="cellIs" dxfId="12" priority="11" operator="equal">
      <formula>0</formula>
    </cfRule>
  </conditionalFormatting>
  <conditionalFormatting sqref="C163">
    <cfRule type="cellIs" dxfId="11" priority="10" operator="equal">
      <formula>0</formula>
    </cfRule>
  </conditionalFormatting>
  <conditionalFormatting sqref="C189">
    <cfRule type="cellIs" dxfId="10" priority="24" operator="equal">
      <formula>0</formula>
    </cfRule>
  </conditionalFormatting>
  <conditionalFormatting sqref="C203">
    <cfRule type="cellIs" dxfId="9" priority="9" operator="equal">
      <formula>0</formula>
    </cfRule>
  </conditionalFormatting>
  <conditionalFormatting sqref="C206">
    <cfRule type="cellIs" dxfId="8" priority="1" operator="equal">
      <formula>0</formula>
    </cfRule>
  </conditionalFormatting>
  <conditionalFormatting sqref="C222">
    <cfRule type="cellIs" dxfId="7" priority="21" operator="equal">
      <formula>0</formula>
    </cfRule>
  </conditionalFormatting>
  <conditionalFormatting sqref="C225">
    <cfRule type="cellIs" dxfId="6" priority="112" operator="equal">
      <formula>0</formula>
    </cfRule>
  </conditionalFormatting>
  <conditionalFormatting sqref="C227">
    <cfRule type="cellIs" dxfId="5" priority="2" operator="equal">
      <formula>0</formula>
    </cfRule>
  </conditionalFormatting>
  <conditionalFormatting sqref="E1:E3 G1:G13 E5:E13 H12:I12 O13 S14:V31 E234:G234 H234:K236 E235:H235 E236:F236 E14:K23 F119:K200 E24:E200 E201:K233">
    <cfRule type="cellIs" dxfId="4" priority="1069" stopIfTrue="1" operator="equal">
      <formula>0</formula>
    </cfRule>
  </conditionalFormatting>
  <conditionalFormatting sqref="F24:F40">
    <cfRule type="cellIs" dxfId="3" priority="50" stopIfTrue="1" operator="equal">
      <formula>0</formula>
    </cfRule>
  </conditionalFormatting>
  <conditionalFormatting sqref="F57:F118">
    <cfRule type="cellIs" dxfId="2" priority="18" stopIfTrue="1" operator="equal">
      <formula>0</formula>
    </cfRule>
  </conditionalFormatting>
  <conditionalFormatting sqref="G235:G65701 E240:E65701">
    <cfRule type="cellIs" dxfId="1" priority="203" stopIfTrue="1" operator="equal">
      <formula>0</formula>
    </cfRule>
  </conditionalFormatting>
  <conditionalFormatting sqref="G24:K118">
    <cfRule type="cellIs" dxfId="0" priority="2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09:F214 F24:F40 F90:F110 F57:F70 C157:C158 F112:F200 H14:K23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J46" zoomScale="160" zoomScaleNormal="115" zoomScaleSheetLayoutView="160" workbookViewId="0">
      <selection activeCell="R50" sqref="R5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64" t="s">
        <v>1439</v>
      </c>
      <c r="X2" s="665"/>
      <c r="Y2" s="665"/>
      <c r="Z2" s="665"/>
      <c r="AA2" s="665"/>
      <c r="AB2" s="665"/>
      <c r="AC2" s="665"/>
      <c r="AD2" s="666"/>
    </row>
    <row r="3" spans="3:30">
      <c r="C3" s="238"/>
      <c r="W3" s="667"/>
      <c r="X3" s="668"/>
      <c r="Y3" s="668"/>
      <c r="Z3" s="668"/>
      <c r="AA3" s="668"/>
      <c r="AB3" s="668"/>
      <c r="AC3" s="668"/>
      <c r="AD3" s="66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70" t="s">
        <v>990</v>
      </c>
      <c r="Y5" s="670"/>
      <c r="Z5" s="670"/>
      <c r="AA5" s="670" t="s">
        <v>988</v>
      </c>
      <c r="AB5" s="670"/>
      <c r="AC5" s="670" t="s">
        <v>989</v>
      </c>
      <c r="AD5" s="671"/>
    </row>
    <row r="6" spans="3:30">
      <c r="C6" s="238"/>
      <c r="W6" s="241">
        <v>1</v>
      </c>
      <c r="X6" s="670" t="s">
        <v>993</v>
      </c>
      <c r="Y6" s="670"/>
      <c r="Z6" s="670"/>
      <c r="AA6" s="670"/>
      <c r="AB6" s="670"/>
      <c r="AC6" s="670"/>
      <c r="AD6" s="671"/>
    </row>
    <row r="7" spans="3:30">
      <c r="C7" s="238"/>
      <c r="E7" s="483" t="str">
        <f>PETA!C6</f>
        <v>KOORDINAT : -6.922946, 110.552546</v>
      </c>
      <c r="W7" s="241">
        <v>2</v>
      </c>
      <c r="X7" s="670" t="s">
        <v>994</v>
      </c>
      <c r="Y7" s="670"/>
      <c r="Z7" s="670"/>
      <c r="AA7" s="670"/>
      <c r="AB7" s="670"/>
      <c r="AC7" s="670"/>
      <c r="AD7" s="671"/>
    </row>
    <row r="8" spans="3:30">
      <c r="C8" s="238"/>
      <c r="W8" s="241">
        <v>3</v>
      </c>
      <c r="X8" s="670" t="s">
        <v>995</v>
      </c>
      <c r="Y8" s="670"/>
      <c r="Z8" s="670"/>
      <c r="AA8" s="670"/>
      <c r="AB8" s="670"/>
      <c r="AC8" s="670"/>
      <c r="AD8" s="671"/>
    </row>
    <row r="9" spans="3:30">
      <c r="C9" s="238"/>
      <c r="W9" s="241">
        <v>4</v>
      </c>
      <c r="X9" s="670" t="s">
        <v>996</v>
      </c>
      <c r="Y9" s="670"/>
      <c r="Z9" s="670"/>
      <c r="AA9" s="670"/>
      <c r="AB9" s="670"/>
      <c r="AC9" s="670"/>
      <c r="AD9" s="671"/>
    </row>
    <row r="10" spans="3:30">
      <c r="C10" s="238"/>
      <c r="W10" s="241">
        <v>5</v>
      </c>
      <c r="X10" s="670" t="s">
        <v>997</v>
      </c>
      <c r="Y10" s="670"/>
      <c r="Z10" s="670"/>
      <c r="AA10" s="670"/>
      <c r="AB10" s="670"/>
      <c r="AC10" s="670"/>
      <c r="AD10" s="671"/>
    </row>
    <row r="11" spans="3:30">
      <c r="C11" s="238"/>
      <c r="W11" s="241">
        <v>6</v>
      </c>
      <c r="X11" s="670" t="s">
        <v>998</v>
      </c>
      <c r="Y11" s="670"/>
      <c r="Z11" s="670"/>
      <c r="AA11" s="670"/>
      <c r="AB11" s="670"/>
      <c r="AC11" s="670"/>
      <c r="AD11" s="671"/>
    </row>
    <row r="12" spans="3:30">
      <c r="C12" s="238"/>
      <c r="W12" s="241">
        <v>7</v>
      </c>
      <c r="X12" s="670" t="s">
        <v>999</v>
      </c>
      <c r="Y12" s="670"/>
      <c r="Z12" s="670"/>
      <c r="AA12" s="670"/>
      <c r="AB12" s="670"/>
      <c r="AC12" s="670"/>
      <c r="AD12" s="671"/>
    </row>
    <row r="13" spans="3:30" ht="12.75" customHeight="1">
      <c r="C13" s="238"/>
      <c r="W13" s="241">
        <v>8</v>
      </c>
      <c r="X13" s="670" t="s">
        <v>1000</v>
      </c>
      <c r="Y13" s="670"/>
      <c r="Z13" s="670"/>
      <c r="AA13" s="670"/>
      <c r="AB13" s="670"/>
      <c r="AC13" s="670"/>
      <c r="AD13" s="671"/>
    </row>
    <row r="14" spans="3:30">
      <c r="C14" s="238"/>
      <c r="W14" s="241">
        <v>9</v>
      </c>
      <c r="X14" s="670" t="s">
        <v>1001</v>
      </c>
      <c r="Y14" s="670"/>
      <c r="Z14" s="670"/>
      <c r="AA14" s="670"/>
      <c r="AB14" s="670"/>
      <c r="AC14" s="670"/>
      <c r="AD14" s="671"/>
    </row>
    <row r="15" spans="3:30">
      <c r="C15" s="238"/>
      <c r="W15" s="241">
        <v>10</v>
      </c>
      <c r="X15" s="670" t="s">
        <v>1010</v>
      </c>
      <c r="Y15" s="670"/>
      <c r="Z15" s="670"/>
      <c r="AA15" s="670"/>
      <c r="AB15" s="670"/>
      <c r="AC15" s="670"/>
      <c r="AD15" s="671"/>
    </row>
    <row r="16" spans="3:30">
      <c r="C16" s="238"/>
      <c r="W16" s="241">
        <v>11</v>
      </c>
      <c r="X16" s="670" t="s">
        <v>1455</v>
      </c>
      <c r="Y16" s="670"/>
      <c r="Z16" s="670"/>
      <c r="AA16" s="670"/>
      <c r="AB16" s="670"/>
      <c r="AC16" s="670"/>
      <c r="AD16" s="671"/>
    </row>
    <row r="17" spans="3:30">
      <c r="C17" s="238"/>
      <c r="S17" s="242"/>
      <c r="W17" s="241">
        <v>12</v>
      </c>
      <c r="X17" s="670" t="s">
        <v>1011</v>
      </c>
      <c r="Y17" s="670"/>
      <c r="Z17" s="670"/>
      <c r="AA17" s="670"/>
      <c r="AB17" s="670"/>
      <c r="AC17" s="670"/>
      <c r="AD17" s="671"/>
    </row>
    <row r="18" spans="3:30">
      <c r="C18" s="243"/>
      <c r="D18" s="244"/>
      <c r="E18" s="244"/>
      <c r="W18" s="241">
        <v>13</v>
      </c>
      <c r="X18" s="670"/>
      <c r="Y18" s="670"/>
      <c r="Z18" s="670"/>
      <c r="AA18" s="670"/>
      <c r="AB18" s="670"/>
      <c r="AC18" s="670"/>
      <c r="AD18" s="671"/>
    </row>
    <row r="19" spans="3:30">
      <c r="C19" s="238"/>
      <c r="W19" s="245"/>
      <c r="X19" s="687"/>
      <c r="Y19" s="687"/>
      <c r="Z19" s="687"/>
      <c r="AA19" s="687"/>
      <c r="AB19" s="687"/>
      <c r="AC19" s="687"/>
      <c r="AD19" s="688"/>
    </row>
    <row r="20" spans="3:30">
      <c r="C20" s="238"/>
      <c r="W20" s="672" t="s">
        <v>992</v>
      </c>
      <c r="X20" s="673"/>
      <c r="Y20" s="673"/>
      <c r="Z20" s="673"/>
      <c r="AA20" s="673"/>
      <c r="AB20" s="673"/>
      <c r="AC20" s="673"/>
      <c r="AD20" s="674"/>
    </row>
    <row r="21" spans="3:30">
      <c r="C21" s="238"/>
      <c r="W21" s="675" t="s">
        <v>985</v>
      </c>
      <c r="X21" s="676"/>
      <c r="Y21" s="676"/>
      <c r="Z21" s="677"/>
      <c r="AA21" s="678" t="s">
        <v>986</v>
      </c>
      <c r="AB21" s="679"/>
      <c r="AC21" s="679"/>
      <c r="AD21" s="680"/>
    </row>
    <row r="22" spans="3:30">
      <c r="C22" s="238"/>
      <c r="W22" s="681" t="s">
        <v>1630</v>
      </c>
      <c r="X22" s="682"/>
      <c r="Y22" s="512">
        <v>8</v>
      </c>
      <c r="Z22" s="513" t="s">
        <v>1058</v>
      </c>
      <c r="AA22" s="683" t="s">
        <v>1638</v>
      </c>
      <c r="AB22" s="684"/>
      <c r="AC22" s="248">
        <v>6</v>
      </c>
      <c r="AD22" s="249"/>
    </row>
    <row r="23" spans="3:30">
      <c r="C23" s="238"/>
      <c r="W23" s="681" t="s">
        <v>1638</v>
      </c>
      <c r="X23" s="682"/>
      <c r="Y23" s="512">
        <v>2</v>
      </c>
      <c r="Z23" s="513" t="s">
        <v>1058</v>
      </c>
      <c r="AA23" s="685" t="s">
        <v>1643</v>
      </c>
      <c r="AB23" s="686"/>
      <c r="AC23" s="248">
        <v>300</v>
      </c>
      <c r="AD23" s="249"/>
    </row>
    <row r="24" spans="3:30">
      <c r="C24" s="238"/>
      <c r="W24" s="691" t="s">
        <v>1626</v>
      </c>
      <c r="X24" s="692"/>
      <c r="Y24" s="512">
        <v>3</v>
      </c>
      <c r="Z24" s="513" t="s">
        <v>1058</v>
      </c>
      <c r="AA24" s="693" t="s">
        <v>1641</v>
      </c>
      <c r="AB24" s="694"/>
      <c r="AC24" s="248">
        <v>5</v>
      </c>
      <c r="AD24" s="249"/>
    </row>
    <row r="25" spans="3:30">
      <c r="C25" s="238"/>
      <c r="W25" s="510" t="s">
        <v>1627</v>
      </c>
      <c r="X25" s="511"/>
      <c r="Y25" s="512">
        <v>2</v>
      </c>
      <c r="Z25" s="513" t="s">
        <v>1058</v>
      </c>
      <c r="AA25" s="693" t="s">
        <v>1633</v>
      </c>
      <c r="AB25" s="694"/>
      <c r="AC25" s="248">
        <v>2</v>
      </c>
      <c r="AD25" s="249"/>
    </row>
    <row r="26" spans="3:30">
      <c r="C26" s="238"/>
      <c r="W26" s="691" t="s">
        <v>1631</v>
      </c>
      <c r="X26" s="692"/>
      <c r="Y26" s="512">
        <v>1</v>
      </c>
      <c r="Z26" s="513" t="s">
        <v>1058</v>
      </c>
      <c r="AA26" s="685"/>
      <c r="AB26" s="686"/>
      <c r="AC26" s="248"/>
      <c r="AD26" s="249"/>
    </row>
    <row r="27" spans="3:30">
      <c r="C27" s="238"/>
      <c r="W27" s="691" t="s">
        <v>1639</v>
      </c>
      <c r="X27" s="692"/>
      <c r="Y27" s="512">
        <v>1</v>
      </c>
      <c r="Z27" s="513" t="s">
        <v>1058</v>
      </c>
      <c r="AA27" s="689"/>
      <c r="AB27" s="690"/>
      <c r="AC27" s="248"/>
      <c r="AD27" s="249"/>
    </row>
    <row r="28" spans="3:30">
      <c r="C28" s="238"/>
      <c r="W28" s="691"/>
      <c r="X28" s="692"/>
      <c r="Y28" s="512"/>
      <c r="Z28" s="513"/>
      <c r="AA28" s="689"/>
      <c r="AB28" s="690"/>
      <c r="AC28" s="248"/>
      <c r="AD28" s="249"/>
    </row>
    <row r="29" spans="3:30">
      <c r="C29" s="238"/>
      <c r="W29" s="695" t="s">
        <v>1632</v>
      </c>
      <c r="X29" s="696"/>
      <c r="Y29" s="512">
        <v>8</v>
      </c>
      <c r="Z29" s="513" t="s">
        <v>1058</v>
      </c>
      <c r="AA29" s="689"/>
      <c r="AB29" s="690"/>
      <c r="AC29" s="248"/>
      <c r="AD29" s="249"/>
    </row>
    <row r="30" spans="3:30" ht="11.25" customHeight="1">
      <c r="C30" s="238"/>
      <c r="W30" s="510" t="s">
        <v>1640</v>
      </c>
      <c r="X30" s="511"/>
      <c r="Y30" s="512">
        <v>1</v>
      </c>
      <c r="Z30" s="513" t="s">
        <v>1058</v>
      </c>
      <c r="AA30" s="689"/>
      <c r="AB30" s="690"/>
      <c r="AC30" s="248"/>
      <c r="AD30" s="249"/>
    </row>
    <row r="31" spans="3:30">
      <c r="C31" s="238"/>
      <c r="U31" s="250"/>
      <c r="W31" s="695" t="s">
        <v>1620</v>
      </c>
      <c r="X31" s="696"/>
      <c r="Y31" s="512">
        <v>2</v>
      </c>
      <c r="Z31" s="513" t="s">
        <v>1058</v>
      </c>
      <c r="AA31" s="689"/>
      <c r="AB31" s="690"/>
      <c r="AC31" s="248"/>
      <c r="AD31" s="249"/>
    </row>
    <row r="32" spans="3:30">
      <c r="C32" s="238"/>
      <c r="U32" s="250"/>
      <c r="W32" s="681" t="s">
        <v>1616</v>
      </c>
      <c r="X32" s="682"/>
      <c r="Y32" s="246">
        <v>1</v>
      </c>
      <c r="Z32" s="513" t="s">
        <v>1058</v>
      </c>
      <c r="AA32" s="689"/>
      <c r="AB32" s="690"/>
      <c r="AC32" s="248"/>
      <c r="AD32" s="249"/>
    </row>
    <row r="33" spans="3:30">
      <c r="C33" s="238"/>
      <c r="W33" s="695" t="s">
        <v>1617</v>
      </c>
      <c r="X33" s="696"/>
      <c r="Y33" s="512">
        <v>1</v>
      </c>
      <c r="Z33" s="513" t="s">
        <v>1058</v>
      </c>
      <c r="AA33" s="697"/>
      <c r="AB33" s="697"/>
      <c r="AC33" s="248"/>
      <c r="AD33" s="249"/>
    </row>
    <row r="34" spans="3:30">
      <c r="C34" s="238"/>
      <c r="W34" s="510" t="s">
        <v>1618</v>
      </c>
      <c r="X34" s="511"/>
      <c r="Y34" s="246">
        <v>1</v>
      </c>
      <c r="Z34" s="513" t="s">
        <v>1058</v>
      </c>
      <c r="AA34" s="697"/>
      <c r="AB34" s="697"/>
      <c r="AC34" s="248"/>
      <c r="AD34" s="249"/>
    </row>
    <row r="35" spans="3:30">
      <c r="C35" s="238"/>
      <c r="W35" s="691" t="s">
        <v>1633</v>
      </c>
      <c r="X35" s="692"/>
      <c r="Y35" s="246">
        <v>2</v>
      </c>
      <c r="Z35" s="247" t="s">
        <v>1058</v>
      </c>
      <c r="AA35" s="697"/>
      <c r="AB35" s="697"/>
      <c r="AC35" s="248"/>
      <c r="AD35" s="249"/>
    </row>
    <row r="36" spans="3:30">
      <c r="C36" s="238"/>
      <c r="W36" s="691" t="s">
        <v>1641</v>
      </c>
      <c r="X36" s="692"/>
      <c r="Y36" s="512">
        <v>1</v>
      </c>
      <c r="Z36" s="513" t="s">
        <v>1058</v>
      </c>
      <c r="AA36" s="697"/>
      <c r="AB36" s="697"/>
      <c r="AC36" s="248"/>
      <c r="AD36" s="249"/>
    </row>
    <row r="37" spans="3:30" ht="12.75" customHeight="1">
      <c r="C37" s="238"/>
      <c r="W37" s="691" t="s">
        <v>1642</v>
      </c>
      <c r="X37" s="692"/>
      <c r="Y37" s="512">
        <v>1</v>
      </c>
      <c r="Z37" s="513" t="s">
        <v>1058</v>
      </c>
      <c r="AA37" s="698"/>
      <c r="AB37" s="698"/>
      <c r="AC37" s="251"/>
      <c r="AD37" s="252"/>
    </row>
    <row r="38" spans="3:30" ht="12.75" customHeight="1">
      <c r="C38" s="238"/>
      <c r="W38" s="527" t="s">
        <v>1634</v>
      </c>
      <c r="X38" s="528"/>
      <c r="Y38" s="246">
        <v>1</v>
      </c>
      <c r="Z38" s="513" t="s">
        <v>1058</v>
      </c>
      <c r="AA38" s="701"/>
      <c r="AB38" s="702"/>
      <c r="AC38" s="251"/>
      <c r="AD38" s="252"/>
    </row>
    <row r="39" spans="3:30" ht="12" customHeight="1">
      <c r="C39" s="238"/>
      <c r="W39" s="520" t="s">
        <v>1635</v>
      </c>
      <c r="X39" s="521"/>
      <c r="Y39" s="253">
        <v>1</v>
      </c>
      <c r="Z39" s="247" t="s">
        <v>1058</v>
      </c>
      <c r="AA39" s="699"/>
      <c r="AB39" s="700"/>
      <c r="AC39" s="251"/>
      <c r="AD39" s="252"/>
    </row>
    <row r="40" spans="3:30" ht="12" customHeight="1">
      <c r="C40" s="238"/>
      <c r="W40" s="529"/>
      <c r="X40" s="530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706"/>
      <c r="X41" s="707"/>
      <c r="Y41" s="257"/>
      <c r="Z41" s="258"/>
      <c r="AA41" s="699"/>
      <c r="AB41" s="700"/>
      <c r="AC41" s="251"/>
      <c r="AD41" s="252"/>
    </row>
    <row r="42" spans="3:30" ht="12" customHeight="1">
      <c r="C42" s="238"/>
      <c r="W42" s="708" t="s">
        <v>1456</v>
      </c>
      <c r="X42" s="709"/>
      <c r="Y42" s="709"/>
      <c r="Z42" s="709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703" t="s">
        <v>11</v>
      </c>
      <c r="X44" s="704"/>
      <c r="Y44" s="670"/>
      <c r="Z44" s="670"/>
      <c r="AA44" s="670"/>
      <c r="AB44" s="670"/>
      <c r="AC44" s="670"/>
      <c r="AD44" s="671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703" t="s">
        <v>984</v>
      </c>
      <c r="X45" s="704"/>
      <c r="Y45" s="670">
        <v>1</v>
      </c>
      <c r="Z45" s="670"/>
      <c r="AA45" s="670"/>
      <c r="AB45" s="670" t="s">
        <v>12</v>
      </c>
      <c r="AC45" s="670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703" t="s">
        <v>15</v>
      </c>
      <c r="X46" s="704"/>
      <c r="Y46" s="705"/>
      <c r="Z46" s="705"/>
      <c r="AA46" s="705"/>
      <c r="AB46" s="670" t="s">
        <v>16</v>
      </c>
      <c r="AC46" s="670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714" t="s">
        <v>17</v>
      </c>
      <c r="X47" s="714"/>
      <c r="Y47" s="714"/>
      <c r="Z47" s="714"/>
      <c r="AA47" s="714"/>
      <c r="AB47" s="714"/>
      <c r="AC47" s="714"/>
      <c r="AD47" s="715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716" t="str">
        <f>RAB!G6</f>
        <v>BATCHING PLAN MJA</v>
      </c>
      <c r="X48" s="716"/>
      <c r="Y48" s="716"/>
      <c r="Z48" s="716"/>
      <c r="AA48" s="716"/>
      <c r="AB48" s="716"/>
      <c r="AC48" s="716"/>
      <c r="AD48" s="717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716"/>
      <c r="X49" s="716"/>
      <c r="Y49" s="716"/>
      <c r="Z49" s="716"/>
      <c r="AA49" s="716"/>
      <c r="AB49" s="716"/>
      <c r="AC49" s="716"/>
      <c r="AD49" s="717"/>
    </row>
    <row r="50" spans="3:30">
      <c r="C50" s="265"/>
      <c r="D50" s="266"/>
      <c r="E50" s="266"/>
      <c r="F50" s="266"/>
      <c r="G50" s="266"/>
      <c r="H50" s="266"/>
      <c r="I50" s="266"/>
      <c r="J50" s="52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716"/>
      <c r="X50" s="716"/>
      <c r="Y50" s="716"/>
      <c r="Z50" s="716"/>
      <c r="AA50" s="716"/>
      <c r="AB50" s="716"/>
      <c r="AC50" s="716"/>
      <c r="AD50" s="717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718"/>
      <c r="X51" s="718"/>
      <c r="Y51" s="718"/>
      <c r="Z51" s="718"/>
      <c r="AA51" s="718"/>
      <c r="AB51" s="718"/>
      <c r="AC51" s="718"/>
      <c r="AD51" s="719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703" t="s">
        <v>18</v>
      </c>
      <c r="X52" s="704"/>
      <c r="Y52" s="670" t="s">
        <v>1657</v>
      </c>
      <c r="Z52" s="670"/>
      <c r="AA52" s="670"/>
      <c r="AB52" s="670"/>
      <c r="AC52" s="670"/>
      <c r="AD52" s="671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703" t="s">
        <v>19</v>
      </c>
      <c r="X53" s="704"/>
      <c r="Y53" s="670" t="s">
        <v>1658</v>
      </c>
      <c r="Z53" s="670"/>
      <c r="AA53" s="670"/>
      <c r="AB53" s="670"/>
      <c r="AC53" s="670"/>
      <c r="AD53" s="671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703" t="s">
        <v>20</v>
      </c>
      <c r="X54" s="704"/>
      <c r="Y54" s="710" t="s">
        <v>1659</v>
      </c>
      <c r="Z54" s="710"/>
      <c r="AA54" s="710"/>
      <c r="AB54" s="670"/>
      <c r="AC54" s="670"/>
      <c r="AD54" s="671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711" t="s">
        <v>21</v>
      </c>
      <c r="X55" s="712"/>
      <c r="Y55" s="710" t="s">
        <v>1660</v>
      </c>
      <c r="Z55" s="710"/>
      <c r="AA55" s="710"/>
      <c r="AB55" s="710"/>
      <c r="AC55" s="710"/>
      <c r="AD55" s="713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AA39:AB39"/>
    <mergeCell ref="AA33:AB33"/>
    <mergeCell ref="AA34:AB34"/>
    <mergeCell ref="W35:X35"/>
    <mergeCell ref="AA35:AB35"/>
    <mergeCell ref="W33:X33"/>
    <mergeCell ref="AA38:AB38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A58" sqref="AA5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0" t="s">
        <v>1528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217"/>
      <c r="AE4" s="216"/>
      <c r="AF4" s="216"/>
    </row>
    <row r="5" spans="2:32" ht="13.5" customHeight="1">
      <c r="B5" s="215"/>
      <c r="C5" s="215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217"/>
      <c r="AE5" s="216"/>
      <c r="AF5" s="216"/>
    </row>
    <row r="6" spans="2:32" ht="12.75" customHeight="1">
      <c r="B6" s="215"/>
      <c r="C6" s="215"/>
      <c r="D6" s="723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5"/>
      <c r="AE6" s="216"/>
      <c r="AF6" s="216"/>
    </row>
    <row r="7" spans="2:32" ht="12.75" customHeight="1" thickBot="1">
      <c r="B7" s="215"/>
      <c r="C7" s="215"/>
      <c r="D7" s="726"/>
      <c r="E7" s="727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U35" sqref="U35"/>
    </sheetView>
  </sheetViews>
  <sheetFormatPr defaultRowHeight="12.75"/>
  <cols>
    <col min="1" max="1" width="1.7109375" style="422" customWidth="1"/>
    <col min="2" max="2" width="10.7109375" style="422" customWidth="1"/>
    <col min="3" max="3" width="2.5703125" style="422" customWidth="1"/>
    <col min="4" max="20" width="9.140625" style="422"/>
    <col min="21" max="21" width="14.5703125" style="422" customWidth="1"/>
    <col min="22" max="22" width="3.140625" style="422" customWidth="1"/>
    <col min="23" max="26" width="9.140625" style="422"/>
    <col min="27" max="27" width="2.85546875" style="422" customWidth="1"/>
    <col min="28" max="30" width="4.7109375" style="422" customWidth="1"/>
    <col min="31" max="31" width="1.7109375" style="422" customWidth="1"/>
    <col min="32" max="16384" width="9.140625" style="422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4" t="s">
        <v>1527</v>
      </c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182"/>
      <c r="X3" s="433"/>
      <c r="Y3" s="433"/>
      <c r="Z3" s="433"/>
      <c r="AA3" s="433"/>
      <c r="AB3" s="433"/>
      <c r="AC3" s="423"/>
    </row>
    <row r="4" spans="1:29" ht="18.75" customHeight="1">
      <c r="A4" s="181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182"/>
      <c r="X4" s="433"/>
      <c r="Y4" s="433"/>
      <c r="Z4" s="433"/>
      <c r="AA4" s="433"/>
      <c r="AB4" s="433"/>
      <c r="AC4" s="423"/>
    </row>
    <row r="5" spans="1:29" ht="12.75" customHeight="1">
      <c r="A5" s="181"/>
      <c r="C5" s="424"/>
      <c r="W5" s="182"/>
    </row>
    <row r="6" spans="1:29" ht="12.75" customHeight="1">
      <c r="A6" s="181"/>
      <c r="C6" s="729" t="s">
        <v>1650</v>
      </c>
      <c r="D6" s="729"/>
      <c r="E6" s="729"/>
      <c r="F6" s="729"/>
      <c r="G6" s="729"/>
      <c r="H6" s="729"/>
      <c r="I6" s="729"/>
      <c r="J6" s="729"/>
      <c r="K6" s="729"/>
      <c r="L6" s="729"/>
      <c r="M6" s="729"/>
      <c r="W6" s="182"/>
      <c r="Y6" s="425"/>
      <c r="Z6" s="425"/>
      <c r="AA6" s="425"/>
      <c r="AB6" s="426"/>
      <c r="AC6" s="426"/>
    </row>
    <row r="7" spans="1:29" ht="18" customHeight="1">
      <c r="A7" s="181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W7" s="182"/>
      <c r="Y7" s="425"/>
      <c r="Z7" s="425"/>
      <c r="AA7" s="425"/>
      <c r="AB7" s="426"/>
      <c r="AC7" s="42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8"/>
      <c r="S54" s="428"/>
      <c r="T54" s="428"/>
      <c r="U54" s="429"/>
      <c r="V54" s="429"/>
      <c r="W54" s="183"/>
      <c r="X54" s="429"/>
      <c r="Y54" s="429"/>
      <c r="Z54" s="429"/>
      <c r="AA54" s="429"/>
      <c r="AB54" s="429"/>
      <c r="AC54" s="429"/>
      <c r="AD54" s="42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4"/>
      <c r="S55" s="435"/>
      <c r="T55" s="435"/>
      <c r="U55" s="186"/>
      <c r="V55" s="187"/>
      <c r="W55" s="188"/>
      <c r="X55" s="429"/>
      <c r="Y55" s="429"/>
      <c r="Z55" s="429"/>
      <c r="AA55" s="430"/>
      <c r="AB55" s="430"/>
      <c r="AC55" s="430"/>
      <c r="AD55" s="430"/>
    </row>
    <row r="56" spans="1:30">
      <c r="U56" s="429"/>
      <c r="V56" s="430"/>
      <c r="W56" s="429"/>
      <c r="X56" s="429"/>
      <c r="Y56" s="429"/>
      <c r="Z56" s="429"/>
      <c r="AA56" s="430"/>
      <c r="AB56" s="429"/>
      <c r="AC56" s="429"/>
      <c r="AD56" s="429"/>
    </row>
    <row r="57" spans="1:30">
      <c r="U57" s="429"/>
      <c r="V57" s="430"/>
      <c r="W57" s="429"/>
      <c r="X57" s="429"/>
      <c r="Y57" s="429"/>
      <c r="Z57" s="429"/>
      <c r="AA57" s="429"/>
      <c r="AB57" s="429"/>
      <c r="AC57" s="429"/>
      <c r="AD57" s="429"/>
    </row>
    <row r="58" spans="1:30">
      <c r="U58" s="429"/>
      <c r="V58" s="430"/>
      <c r="W58" s="429"/>
      <c r="X58" s="429"/>
      <c r="Y58" s="429"/>
      <c r="Z58" s="429"/>
      <c r="AA58" s="429"/>
      <c r="AB58" s="429"/>
      <c r="AC58" s="429"/>
      <c r="AD58" s="429"/>
    </row>
    <row r="59" spans="1:30">
      <c r="U59" s="429"/>
      <c r="V59" s="430"/>
      <c r="W59" s="429"/>
      <c r="X59" s="429"/>
      <c r="Y59" s="429"/>
      <c r="Z59" s="429"/>
      <c r="AA59" s="429"/>
      <c r="AB59" s="429"/>
      <c r="AC59" s="429"/>
      <c r="AD59" s="429"/>
    </row>
    <row r="60" spans="1:30">
      <c r="U60" s="429"/>
      <c r="V60" s="430"/>
      <c r="W60" s="429"/>
      <c r="X60" s="429"/>
      <c r="Y60" s="429"/>
      <c r="Z60" s="429"/>
      <c r="AA60" s="430"/>
      <c r="AB60" s="429"/>
      <c r="AC60" s="429"/>
      <c r="AD60" s="429"/>
    </row>
    <row r="61" spans="1:30">
      <c r="U61" s="429"/>
      <c r="V61" s="430"/>
      <c r="W61" s="429"/>
      <c r="X61" s="429"/>
      <c r="Y61" s="429"/>
      <c r="Z61" s="429"/>
      <c r="AA61" s="429"/>
      <c r="AB61" s="429"/>
      <c r="AC61" s="429"/>
      <c r="AD61" s="429"/>
    </row>
    <row r="62" spans="1:30">
      <c r="U62" s="429"/>
      <c r="V62" s="430"/>
      <c r="W62" s="429"/>
      <c r="X62" s="429"/>
      <c r="Y62" s="429"/>
      <c r="Z62" s="429"/>
      <c r="AA62" s="429"/>
      <c r="AB62" s="429"/>
      <c r="AC62" s="429"/>
      <c r="AD62" s="429"/>
    </row>
    <row r="63" spans="1:30">
      <c r="U63" s="429"/>
      <c r="V63" s="430"/>
      <c r="W63" s="429"/>
      <c r="X63" s="429"/>
      <c r="Y63" s="429"/>
      <c r="Z63" s="429"/>
      <c r="AA63" s="429"/>
      <c r="AB63" s="429"/>
      <c r="AC63" s="429"/>
      <c r="AD63" s="429"/>
    </row>
    <row r="64" spans="1:30">
      <c r="U64" s="429"/>
      <c r="V64" s="430"/>
      <c r="W64" s="429"/>
      <c r="X64" s="429"/>
      <c r="Y64" s="429"/>
      <c r="Z64" s="429"/>
      <c r="AA64" s="429"/>
      <c r="AB64" s="429"/>
      <c r="AC64" s="429"/>
      <c r="AD64" s="429"/>
    </row>
    <row r="65" spans="5:30">
      <c r="U65" s="429"/>
      <c r="V65" s="430"/>
      <c r="W65" s="429"/>
      <c r="X65" s="429"/>
      <c r="Y65" s="429"/>
      <c r="Z65" s="429"/>
      <c r="AA65" s="429"/>
      <c r="AB65" s="429"/>
      <c r="AC65" s="429"/>
      <c r="AD65" s="429"/>
    </row>
    <row r="66" spans="5:30" ht="6" customHeight="1"/>
    <row r="73" spans="5:30">
      <c r="M73" s="431"/>
    </row>
    <row r="74" spans="5:30" ht="15" customHeight="1">
      <c r="E74" s="432"/>
      <c r="M74" s="431"/>
    </row>
    <row r="75" spans="5:30" ht="15" customHeight="1">
      <c r="E75" s="432"/>
      <c r="M75" s="431"/>
    </row>
    <row r="76" spans="5:30" ht="15" customHeight="1">
      <c r="E76" s="432"/>
      <c r="M76" s="431"/>
    </row>
    <row r="77" spans="5:30" ht="15" customHeight="1">
      <c r="E77" s="432"/>
      <c r="M77" s="431"/>
    </row>
    <row r="78" spans="5:30" ht="15" customHeight="1">
      <c r="E78" s="432"/>
      <c r="M78" s="431"/>
    </row>
    <row r="79" spans="5:30" ht="15" customHeight="1">
      <c r="E79" s="432"/>
      <c r="M79" s="431"/>
    </row>
    <row r="80" spans="5:30" ht="15" customHeight="1">
      <c r="E80" s="432"/>
      <c r="M80" s="431"/>
    </row>
    <row r="81" spans="5:13" ht="15" customHeight="1">
      <c r="E81" s="432"/>
      <c r="M81" s="431"/>
    </row>
    <row r="82" spans="5:13" ht="15" customHeight="1">
      <c r="E82" s="432"/>
      <c r="M82" s="431"/>
    </row>
    <row r="83" spans="5:13" ht="15" customHeight="1">
      <c r="E83" s="432"/>
      <c r="M83" s="431"/>
    </row>
    <row r="84" spans="5:13" ht="15" customHeight="1">
      <c r="E84" s="432"/>
      <c r="M84" s="431"/>
    </row>
    <row r="85" spans="5:13" ht="15" customHeight="1">
      <c r="E85" s="432"/>
      <c r="M85" s="431"/>
    </row>
    <row r="86" spans="5:13" ht="15" customHeight="1">
      <c r="E86" s="432"/>
      <c r="M86" s="431"/>
    </row>
    <row r="87" spans="5:13" ht="15" customHeight="1">
      <c r="E87" s="432"/>
      <c r="M87" s="431"/>
    </row>
    <row r="88" spans="5:13" ht="15" customHeight="1">
      <c r="E88" s="432"/>
      <c r="M88" s="431"/>
    </row>
    <row r="89" spans="5:13" ht="15" customHeight="1">
      <c r="E89" s="432"/>
      <c r="M89" s="431"/>
    </row>
    <row r="90" spans="5:13" ht="15" customHeight="1">
      <c r="E90" s="432"/>
      <c r="M90" s="431"/>
    </row>
    <row r="91" spans="5:13" ht="15" customHeight="1">
      <c r="E91" s="432"/>
      <c r="M91" s="431"/>
    </row>
    <row r="92" spans="5:13" ht="15" customHeight="1">
      <c r="E92" s="432"/>
      <c r="M92" s="431"/>
    </row>
    <row r="93" spans="5:13" ht="15" customHeight="1">
      <c r="E93" s="432"/>
      <c r="M93" s="431"/>
    </row>
    <row r="94" spans="5:13" ht="15" customHeight="1">
      <c r="E94" s="432"/>
      <c r="M94" s="431"/>
    </row>
    <row r="95" spans="5:13" ht="15" customHeight="1">
      <c r="E95" s="432"/>
      <c r="M95" s="431"/>
    </row>
    <row r="96" spans="5:13" ht="15" customHeight="1">
      <c r="E96" s="432"/>
    </row>
    <row r="97" spans="5:5" ht="15" customHeight="1">
      <c r="E97" s="432"/>
    </row>
    <row r="98" spans="5:5" ht="15" customHeight="1">
      <c r="E98" s="432"/>
    </row>
    <row r="99" spans="5:5" ht="15" customHeight="1">
      <c r="E99" s="432"/>
    </row>
    <row r="100" spans="5:5" ht="15" customHeight="1">
      <c r="E100" s="432"/>
    </row>
    <row r="101" spans="5:5" ht="15" customHeight="1">
      <c r="E101" s="432"/>
    </row>
    <row r="102" spans="5:5" ht="15" customHeight="1">
      <c r="E102" s="432"/>
    </row>
    <row r="103" spans="5:5" ht="15" customHeight="1">
      <c r="E103" s="432"/>
    </row>
    <row r="104" spans="5:5" ht="15" customHeight="1">
      <c r="E104" s="432"/>
    </row>
    <row r="105" spans="5:5" ht="15" customHeight="1">
      <c r="E105" s="432"/>
    </row>
    <row r="106" spans="5:5" ht="15" customHeight="1">
      <c r="E106" s="432"/>
    </row>
    <row r="107" spans="5:5" ht="15" customHeight="1">
      <c r="E107" s="432"/>
    </row>
    <row r="108" spans="5:5" ht="15" customHeight="1">
      <c r="E108" s="432"/>
    </row>
    <row r="109" spans="5:5" ht="15" customHeight="1">
      <c r="E109" s="432"/>
    </row>
    <row r="110" spans="5:5" ht="15" customHeight="1">
      <c r="E110" s="432"/>
    </row>
    <row r="111" spans="5:5" ht="15" customHeight="1">
      <c r="E111" s="432"/>
    </row>
    <row r="112" spans="5:5" ht="15" customHeight="1">
      <c r="E112" s="432"/>
    </row>
    <row r="113" spans="5:5" ht="15" customHeight="1">
      <c r="E113" s="432"/>
    </row>
    <row r="114" spans="5:5" ht="15" customHeight="1">
      <c r="E114" s="432"/>
    </row>
    <row r="115" spans="5:5" ht="15" customHeight="1">
      <c r="E115" s="432"/>
    </row>
    <row r="116" spans="5:5" ht="15" customHeight="1">
      <c r="E116" s="432"/>
    </row>
    <row r="117" spans="5:5" ht="15" customHeight="1">
      <c r="E117" s="432"/>
    </row>
    <row r="118" spans="5:5" ht="15" customHeight="1">
      <c r="E118" s="432"/>
    </row>
    <row r="119" spans="5:5" ht="15" customHeight="1">
      <c r="E119" s="432"/>
    </row>
    <row r="120" spans="5:5">
      <c r="E120" s="432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4">
        <v>1</v>
      </c>
    </row>
    <row r="2" spans="1:11" ht="48" customHeight="1">
      <c r="A2" s="454">
        <v>3</v>
      </c>
    </row>
    <row r="4" spans="1:11" ht="48" customHeight="1">
      <c r="C4" s="454">
        <v>1</v>
      </c>
    </row>
    <row r="5" spans="1:11" ht="48" customHeight="1">
      <c r="C5" s="454">
        <v>3</v>
      </c>
    </row>
    <row r="7" spans="1:11" ht="48" customHeight="1">
      <c r="E7" s="454">
        <v>1</v>
      </c>
    </row>
    <row r="8" spans="1:11" ht="48" customHeight="1">
      <c r="E8" s="454">
        <v>3</v>
      </c>
    </row>
    <row r="10" spans="1:11" ht="48" customHeight="1">
      <c r="G10" s="454">
        <v>3</v>
      </c>
    </row>
    <row r="11" spans="1:11" ht="48" customHeight="1">
      <c r="G11" s="454">
        <v>1</v>
      </c>
    </row>
    <row r="13" spans="1:11" ht="48" customHeight="1">
      <c r="I13" s="454">
        <v>3</v>
      </c>
    </row>
    <row r="14" spans="1:11" ht="48" customHeight="1">
      <c r="I14" s="454">
        <v>1</v>
      </c>
    </row>
    <row r="16" spans="1:11" ht="48" customHeight="1">
      <c r="K16" s="454">
        <v>3</v>
      </c>
    </row>
    <row r="17" spans="11:21" ht="48" customHeight="1">
      <c r="K17" s="454">
        <v>1</v>
      </c>
    </row>
    <row r="19" spans="11:21" ht="48" customHeight="1">
      <c r="M19" s="454">
        <v>3</v>
      </c>
    </row>
    <row r="20" spans="11:21" ht="48" customHeight="1">
      <c r="M20" s="454">
        <v>1</v>
      </c>
    </row>
    <row r="22" spans="11:21" ht="48" customHeight="1">
      <c r="O22" s="454">
        <v>3</v>
      </c>
    </row>
    <row r="23" spans="11:21" ht="48" customHeight="1">
      <c r="O23" s="454">
        <v>1</v>
      </c>
    </row>
    <row r="25" spans="11:21" ht="57" customHeight="1">
      <c r="Q25" s="454">
        <v>3</v>
      </c>
    </row>
    <row r="26" spans="11:21" ht="57" customHeight="1">
      <c r="Q26" s="454">
        <v>1</v>
      </c>
    </row>
    <row r="28" spans="11:21" ht="57" customHeight="1">
      <c r="S28" s="454">
        <v>3</v>
      </c>
    </row>
    <row r="29" spans="11:21" ht="57" customHeight="1">
      <c r="S29" s="454">
        <v>1</v>
      </c>
    </row>
    <row r="31" spans="11:21" ht="57" customHeight="1">
      <c r="U31" s="454">
        <v>3</v>
      </c>
    </row>
    <row r="32" spans="11:21" ht="57" customHeight="1">
      <c r="U32" s="454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2023-11-24T04:11:05Z</cp:lastPrinted>
  <dcterms:created xsi:type="dcterms:W3CDTF">2011-02-06T11:57:38Z</dcterms:created>
  <dcterms:modified xsi:type="dcterms:W3CDTF">2023-11-24T04:18:13Z</dcterms:modified>
</cp:coreProperties>
</file>