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GRENALDI\DATA GRENALDY (2)\ULP DEMAK\PASANG BARU PERLUASAN\CRBC WIKA JO PP\"/>
    </mc:Choice>
  </mc:AlternateContent>
  <xr:revisionPtr revIDLastSave="0" documentId="8_{6BDA5671-0184-4905-B540-B621A532BA31}" xr6:coauthVersionLast="45" xr6:coauthVersionMax="45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9">GAMBAR!$A$1:$AD$56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RAB!$A$1:$L$124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</workbook>
</file>

<file path=xl/calcChain.xml><?xml version="1.0" encoding="utf-8"?>
<calcChain xmlns="http://schemas.openxmlformats.org/spreadsheetml/2006/main">
  <c r="D77" i="11" l="1"/>
  <c r="J77" i="11" s="1"/>
  <c r="E77" i="11"/>
  <c r="G77" i="11"/>
  <c r="D78" i="11"/>
  <c r="J78" i="11" s="1"/>
  <c r="E78" i="11"/>
  <c r="G78" i="11"/>
  <c r="D79" i="11"/>
  <c r="H79" i="11" s="1"/>
  <c r="E79" i="11"/>
  <c r="G79" i="11"/>
  <c r="D80" i="11"/>
  <c r="I80" i="11" s="1"/>
  <c r="E80" i="11"/>
  <c r="G80" i="11"/>
  <c r="D81" i="11"/>
  <c r="J81" i="11" s="1"/>
  <c r="E81" i="11"/>
  <c r="G81" i="11"/>
  <c r="D82" i="11"/>
  <c r="J82" i="11" s="1"/>
  <c r="E82" i="11"/>
  <c r="G82" i="11"/>
  <c r="D62" i="11"/>
  <c r="J62" i="11" s="1"/>
  <c r="E62" i="11"/>
  <c r="G62" i="11"/>
  <c r="D63" i="11"/>
  <c r="J63" i="11" s="1"/>
  <c r="E63" i="11"/>
  <c r="G63" i="11"/>
  <c r="D64" i="11"/>
  <c r="H64" i="11" s="1"/>
  <c r="E64" i="11"/>
  <c r="G64" i="11"/>
  <c r="D65" i="11"/>
  <c r="H65" i="11" s="1"/>
  <c r="E65" i="11"/>
  <c r="G65" i="11"/>
  <c r="D66" i="11"/>
  <c r="J66" i="11" s="1"/>
  <c r="E66" i="11"/>
  <c r="G66" i="11"/>
  <c r="D67" i="11"/>
  <c r="J67" i="11" s="1"/>
  <c r="E67" i="11"/>
  <c r="G67" i="11"/>
  <c r="D68" i="11"/>
  <c r="H68" i="11" s="1"/>
  <c r="E68" i="11"/>
  <c r="G68" i="11"/>
  <c r="D69" i="11"/>
  <c r="J69" i="11" s="1"/>
  <c r="E69" i="11"/>
  <c r="G69" i="11"/>
  <c r="D70" i="11"/>
  <c r="J70" i="11" s="1"/>
  <c r="E70" i="11"/>
  <c r="G70" i="11"/>
  <c r="D71" i="11"/>
  <c r="J71" i="11" s="1"/>
  <c r="E71" i="11"/>
  <c r="G71" i="11"/>
  <c r="D72" i="11"/>
  <c r="H72" i="11" s="1"/>
  <c r="E72" i="11"/>
  <c r="G72" i="11"/>
  <c r="D73" i="11"/>
  <c r="J73" i="11" s="1"/>
  <c r="E73" i="11"/>
  <c r="G73" i="11"/>
  <c r="D74" i="11"/>
  <c r="E74" i="11"/>
  <c r="G74" i="11"/>
  <c r="D75" i="11"/>
  <c r="H75" i="11" s="1"/>
  <c r="E75" i="11"/>
  <c r="G75" i="11"/>
  <c r="D76" i="11"/>
  <c r="H76" i="11" s="1"/>
  <c r="E76" i="11"/>
  <c r="G76" i="11"/>
  <c r="G37" i="11"/>
  <c r="G38" i="11"/>
  <c r="G39" i="11"/>
  <c r="G40" i="11"/>
  <c r="D37" i="11"/>
  <c r="H37" i="11" s="1"/>
  <c r="E37" i="11"/>
  <c r="D38" i="11"/>
  <c r="I38" i="11" s="1"/>
  <c r="E38" i="11"/>
  <c r="D39" i="11"/>
  <c r="H39" i="11" s="1"/>
  <c r="E39" i="11"/>
  <c r="D52" i="11"/>
  <c r="J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J57" i="11" s="1"/>
  <c r="E57" i="11"/>
  <c r="G57" i="11"/>
  <c r="D58" i="11"/>
  <c r="E58" i="11"/>
  <c r="G58" i="11"/>
  <c r="D59" i="11"/>
  <c r="H59" i="11" s="1"/>
  <c r="E59" i="11"/>
  <c r="G59" i="11"/>
  <c r="D60" i="11"/>
  <c r="J60" i="11" s="1"/>
  <c r="E60" i="11"/>
  <c r="G60" i="11"/>
  <c r="D61" i="11"/>
  <c r="H61" i="11" s="1"/>
  <c r="E61" i="11"/>
  <c r="G61" i="11"/>
  <c r="H77" i="11" l="1"/>
  <c r="J79" i="11"/>
  <c r="I77" i="11"/>
  <c r="I81" i="11"/>
  <c r="H81" i="11"/>
  <c r="J80" i="11"/>
  <c r="H80" i="11"/>
  <c r="I79" i="11"/>
  <c r="I62" i="11"/>
  <c r="I82" i="11"/>
  <c r="I78" i="11"/>
  <c r="H78" i="11"/>
  <c r="J64" i="11"/>
  <c r="H62" i="11"/>
  <c r="H82" i="11"/>
  <c r="J65" i="11"/>
  <c r="I63" i="11"/>
  <c r="J75" i="11"/>
  <c r="H73" i="11"/>
  <c r="J72" i="11"/>
  <c r="I73" i="11"/>
  <c r="I76" i="11"/>
  <c r="J74" i="11"/>
  <c r="I65" i="11"/>
  <c r="K65" i="11" s="1"/>
  <c r="I64" i="11"/>
  <c r="J76" i="11"/>
  <c r="I75" i="11"/>
  <c r="I74" i="11"/>
  <c r="I70" i="11"/>
  <c r="I69" i="11"/>
  <c r="J68" i="11"/>
  <c r="H74" i="11"/>
  <c r="I72" i="11"/>
  <c r="I71" i="11"/>
  <c r="H69" i="11"/>
  <c r="H70" i="11"/>
  <c r="I68" i="11"/>
  <c r="I67" i="11"/>
  <c r="H66" i="11"/>
  <c r="I66" i="11"/>
  <c r="H71" i="11"/>
  <c r="H67" i="11"/>
  <c r="H63" i="11"/>
  <c r="J37" i="11"/>
  <c r="H38" i="11"/>
  <c r="J39" i="11"/>
  <c r="I37" i="11"/>
  <c r="I39" i="11"/>
  <c r="J38" i="11"/>
  <c r="I52" i="11"/>
  <c r="J59" i="11"/>
  <c r="J54" i="11"/>
  <c r="H52" i="11"/>
  <c r="I54" i="11"/>
  <c r="J58" i="11"/>
  <c r="J61" i="11"/>
  <c r="I60" i="11"/>
  <c r="I59" i="11"/>
  <c r="I55" i="11"/>
  <c r="H58" i="11"/>
  <c r="I57" i="11"/>
  <c r="I56" i="11"/>
  <c r="H55" i="11"/>
  <c r="I58" i="11"/>
  <c r="I61" i="11"/>
  <c r="H60" i="11"/>
  <c r="H56" i="11"/>
  <c r="I53" i="11"/>
  <c r="H57" i="11"/>
  <c r="H53" i="11"/>
  <c r="K81" i="11" l="1"/>
  <c r="K77" i="11"/>
  <c r="K79" i="11"/>
  <c r="K64" i="11"/>
  <c r="K63" i="11"/>
  <c r="K78" i="11"/>
  <c r="K69" i="11"/>
  <c r="K75" i="11"/>
  <c r="K71" i="11"/>
  <c r="K80" i="11"/>
  <c r="K82" i="11"/>
  <c r="K62" i="11"/>
  <c r="K68" i="11"/>
  <c r="K74" i="11"/>
  <c r="K73" i="11"/>
  <c r="K72" i="11"/>
  <c r="K70" i="11"/>
  <c r="K76" i="11"/>
  <c r="K37" i="11"/>
  <c r="K67" i="11"/>
  <c r="K66" i="11"/>
  <c r="K39" i="11"/>
  <c r="K38" i="11"/>
  <c r="K60" i="11"/>
  <c r="K54" i="11"/>
  <c r="K52" i="11"/>
  <c r="K61" i="11"/>
  <c r="K56" i="11"/>
  <c r="K59" i="11"/>
  <c r="K53" i="11"/>
  <c r="K57" i="11"/>
  <c r="K55" i="11"/>
  <c r="K58" i="11"/>
  <c r="D19" i="11" l="1"/>
  <c r="J19" i="11" s="1"/>
  <c r="D20" i="11"/>
  <c r="J20" i="11" s="1"/>
  <c r="D21" i="11"/>
  <c r="H21" i="11" s="1"/>
  <c r="D22" i="11"/>
  <c r="J22" i="11" s="1"/>
  <c r="D23" i="11"/>
  <c r="J23" i="11" s="1"/>
  <c r="D24" i="11"/>
  <c r="J24" i="11" s="1"/>
  <c r="D25" i="11"/>
  <c r="H25" i="11" s="1"/>
  <c r="D26" i="11"/>
  <c r="J26" i="11" s="1"/>
  <c r="D27" i="11"/>
  <c r="J27" i="11" s="1"/>
  <c r="D28" i="11"/>
  <c r="J28" i="11" s="1"/>
  <c r="D29" i="11"/>
  <c r="H29" i="11" s="1"/>
  <c r="D30" i="11"/>
  <c r="H30" i="11" s="1"/>
  <c r="D31" i="11"/>
  <c r="J31" i="11" s="1"/>
  <c r="D32" i="11"/>
  <c r="J32" i="11" s="1"/>
  <c r="D33" i="11"/>
  <c r="J33" i="11" s="1"/>
  <c r="D34" i="11"/>
  <c r="H34" i="11" s="1"/>
  <c r="D35" i="11"/>
  <c r="H35" i="11" s="1"/>
  <c r="D36" i="11"/>
  <c r="D40" i="11"/>
  <c r="F103" i="11"/>
  <c r="F102" i="11"/>
  <c r="F101" i="11"/>
  <c r="F100" i="11"/>
  <c r="F99" i="11"/>
  <c r="G97" i="11"/>
  <c r="G98" i="11"/>
  <c r="G99" i="11"/>
  <c r="G100" i="11"/>
  <c r="G101" i="11"/>
  <c r="G102" i="11"/>
  <c r="G103" i="11"/>
  <c r="G104" i="11"/>
  <c r="D97" i="11"/>
  <c r="H97" i="11" s="1"/>
  <c r="E97" i="11"/>
  <c r="D98" i="11"/>
  <c r="J98" i="11" s="1"/>
  <c r="E98" i="11"/>
  <c r="D99" i="11"/>
  <c r="E99" i="11"/>
  <c r="D100" i="11"/>
  <c r="H100" i="11" s="1"/>
  <c r="E100" i="11"/>
  <c r="D101" i="11"/>
  <c r="H101" i="11" s="1"/>
  <c r="E101" i="11"/>
  <c r="D102" i="11"/>
  <c r="J102" i="11" s="1"/>
  <c r="E102" i="11"/>
  <c r="D103" i="11"/>
  <c r="I103" i="11" s="1"/>
  <c r="E103" i="11"/>
  <c r="D104" i="11"/>
  <c r="H104" i="11" s="1"/>
  <c r="E104" i="11"/>
  <c r="F96" i="11"/>
  <c r="F94" i="11"/>
  <c r="F93" i="11"/>
  <c r="F92" i="11"/>
  <c r="F49" i="11"/>
  <c r="F48" i="11"/>
  <c r="F47" i="11"/>
  <c r="F46" i="11"/>
  <c r="F45" i="11"/>
  <c r="F44" i="11"/>
  <c r="F43" i="11"/>
  <c r="F42" i="11"/>
  <c r="F41" i="11"/>
  <c r="D15" i="11"/>
  <c r="J15" i="11" s="1"/>
  <c r="E15" i="11"/>
  <c r="G15" i="11"/>
  <c r="D16" i="11"/>
  <c r="J16" i="11" s="1"/>
  <c r="E16" i="11"/>
  <c r="G16" i="11"/>
  <c r="D17" i="11"/>
  <c r="J17" i="11" s="1"/>
  <c r="E17" i="11"/>
  <c r="G17" i="11"/>
  <c r="D18" i="11"/>
  <c r="J18" i="11" s="1"/>
  <c r="E18" i="11"/>
  <c r="G18" i="11"/>
  <c r="E19" i="11"/>
  <c r="G19" i="11"/>
  <c r="E20" i="11"/>
  <c r="G20" i="11"/>
  <c r="E21" i="11"/>
  <c r="G21" i="11"/>
  <c r="E22" i="11"/>
  <c r="G22" i="11"/>
  <c r="E23" i="11"/>
  <c r="G23" i="11"/>
  <c r="E24" i="11"/>
  <c r="G24" i="11"/>
  <c r="E25" i="11"/>
  <c r="G25" i="11"/>
  <c r="E26" i="11"/>
  <c r="G26" i="11"/>
  <c r="E27" i="11"/>
  <c r="G27" i="11"/>
  <c r="E28" i="11"/>
  <c r="G28" i="11"/>
  <c r="E29" i="11"/>
  <c r="G29" i="11"/>
  <c r="E30" i="11"/>
  <c r="G30" i="11"/>
  <c r="E31" i="11"/>
  <c r="G31" i="11"/>
  <c r="E32" i="11"/>
  <c r="G32" i="11"/>
  <c r="E33" i="11"/>
  <c r="G33" i="11"/>
  <c r="E34" i="11"/>
  <c r="G34" i="11"/>
  <c r="E35" i="11"/>
  <c r="G35" i="11"/>
  <c r="E36" i="11"/>
  <c r="G36" i="11"/>
  <c r="E40" i="11"/>
  <c r="D41" i="11"/>
  <c r="H41" i="11" s="1"/>
  <c r="E41" i="11"/>
  <c r="G41" i="11"/>
  <c r="D42" i="11"/>
  <c r="J42" i="11" s="1"/>
  <c r="E42" i="11"/>
  <c r="G42" i="11"/>
  <c r="D43" i="11"/>
  <c r="J43" i="11" s="1"/>
  <c r="E43" i="11"/>
  <c r="G43" i="11"/>
  <c r="D44" i="11"/>
  <c r="H44" i="11" s="1"/>
  <c r="E44" i="11"/>
  <c r="G44" i="11"/>
  <c r="D45" i="11"/>
  <c r="H45" i="11" s="1"/>
  <c r="E45" i="11"/>
  <c r="G45" i="11"/>
  <c r="D46" i="11"/>
  <c r="J46" i="11" s="1"/>
  <c r="E46" i="11"/>
  <c r="G46" i="11"/>
  <c r="D47" i="11"/>
  <c r="J47" i="11" s="1"/>
  <c r="E47" i="11"/>
  <c r="G47" i="11"/>
  <c r="D48" i="11"/>
  <c r="H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H51" i="11" s="1"/>
  <c r="E51" i="11"/>
  <c r="G51" i="11"/>
  <c r="H40" i="11" l="1"/>
  <c r="I40" i="11"/>
  <c r="J40" i="11"/>
  <c r="J36" i="11"/>
  <c r="I99" i="11"/>
  <c r="I102" i="11"/>
  <c r="J104" i="11"/>
  <c r="H99" i="11"/>
  <c r="J101" i="11"/>
  <c r="J97" i="11"/>
  <c r="H102" i="11"/>
  <c r="J100" i="11"/>
  <c r="I98" i="11"/>
  <c r="H103" i="11"/>
  <c r="H98" i="11"/>
  <c r="I101" i="11"/>
  <c r="I97" i="11"/>
  <c r="I104" i="11"/>
  <c r="J103" i="11"/>
  <c r="I100" i="11"/>
  <c r="J99" i="11"/>
  <c r="I41" i="11"/>
  <c r="I17" i="11"/>
  <c r="J45" i="11"/>
  <c r="J44" i="11"/>
  <c r="J41" i="11"/>
  <c r="J29" i="11"/>
  <c r="J25" i="11"/>
  <c r="I31" i="11"/>
  <c r="J51" i="11"/>
  <c r="J50" i="11"/>
  <c r="I49" i="11"/>
  <c r="I42" i="11"/>
  <c r="J21" i="11"/>
  <c r="J49" i="11"/>
  <c r="H18" i="11"/>
  <c r="I15" i="11"/>
  <c r="J48" i="11"/>
  <c r="I35" i="11"/>
  <c r="J30" i="11"/>
  <c r="I26" i="11"/>
  <c r="I25" i="11"/>
  <c r="I21" i="11"/>
  <c r="I18" i="11"/>
  <c r="I46" i="11"/>
  <c r="I48" i="11"/>
  <c r="H46" i="11"/>
  <c r="J34" i="11"/>
  <c r="I33" i="11"/>
  <c r="I27" i="11"/>
  <c r="H26" i="11"/>
  <c r="I23" i="11"/>
  <c r="I22" i="11"/>
  <c r="I19" i="11"/>
  <c r="I51" i="11"/>
  <c r="I45" i="11"/>
  <c r="I34" i="11"/>
  <c r="I30" i="11"/>
  <c r="I29" i="11"/>
  <c r="I50" i="11"/>
  <c r="I44" i="11"/>
  <c r="H42" i="11"/>
  <c r="H17" i="11"/>
  <c r="H15" i="11"/>
  <c r="H33" i="11"/>
  <c r="H31" i="11"/>
  <c r="H27" i="11"/>
  <c r="H22" i="11"/>
  <c r="J35" i="11"/>
  <c r="H23" i="11"/>
  <c r="H19" i="11"/>
  <c r="I43" i="11"/>
  <c r="I28" i="11"/>
  <c r="I20" i="11"/>
  <c r="I16" i="11"/>
  <c r="H47" i="11"/>
  <c r="H43" i="11"/>
  <c r="H36" i="11"/>
  <c r="H32" i="11"/>
  <c r="H28" i="11"/>
  <c r="H24" i="11"/>
  <c r="H20" i="11"/>
  <c r="H16" i="11"/>
  <c r="I47" i="11"/>
  <c r="I36" i="11"/>
  <c r="I32" i="11"/>
  <c r="I24" i="11"/>
  <c r="F89" i="11"/>
  <c r="F88" i="11"/>
  <c r="F87" i="11"/>
  <c r="F86" i="11"/>
  <c r="F85" i="11"/>
  <c r="F84" i="11"/>
  <c r="F83" i="11"/>
  <c r="K40" i="11" l="1"/>
  <c r="K26" i="11"/>
  <c r="K49" i="11"/>
  <c r="K102" i="11"/>
  <c r="K51" i="11"/>
  <c r="K21" i="11"/>
  <c r="K104" i="11"/>
  <c r="K101" i="11"/>
  <c r="K98" i="11"/>
  <c r="K99" i="11"/>
  <c r="K100" i="11"/>
  <c r="K97" i="11"/>
  <c r="K103" i="11"/>
  <c r="K15" i="11"/>
  <c r="K25" i="11"/>
  <c r="K22" i="11"/>
  <c r="K41" i="11"/>
  <c r="K17" i="11"/>
  <c r="K42" i="11"/>
  <c r="K18" i="11"/>
  <c r="K31" i="11"/>
  <c r="K35" i="11"/>
  <c r="K33" i="11"/>
  <c r="K45" i="11"/>
  <c r="K29" i="11"/>
  <c r="K27" i="11"/>
  <c r="K44" i="11"/>
  <c r="K48" i="11"/>
  <c r="K28" i="11"/>
  <c r="K19" i="11"/>
  <c r="K30" i="11"/>
  <c r="K50" i="11"/>
  <c r="K46" i="11"/>
  <c r="K23" i="11"/>
  <c r="K34" i="11"/>
  <c r="K24" i="11"/>
  <c r="K43" i="11"/>
  <c r="K20" i="11"/>
  <c r="K47" i="11"/>
  <c r="K16" i="11"/>
  <c r="K32" i="11"/>
  <c r="K36" i="11"/>
  <c r="D83" i="11"/>
  <c r="E83" i="11"/>
  <c r="G83" i="11"/>
  <c r="D84" i="11"/>
  <c r="H84" i="11" s="1"/>
  <c r="E84" i="11"/>
  <c r="G84" i="11"/>
  <c r="D85" i="11"/>
  <c r="E85" i="11"/>
  <c r="G85" i="11"/>
  <c r="D86" i="11"/>
  <c r="J86" i="11" s="1"/>
  <c r="E86" i="11"/>
  <c r="G86" i="11"/>
  <c r="D87" i="11"/>
  <c r="E87" i="11"/>
  <c r="G87" i="11"/>
  <c r="D88" i="11"/>
  <c r="H88" i="11" s="1"/>
  <c r="E88" i="11"/>
  <c r="G88" i="11"/>
  <c r="D89" i="11"/>
  <c r="J89" i="11" s="1"/>
  <c r="E89" i="11"/>
  <c r="G89" i="11"/>
  <c r="D90" i="11"/>
  <c r="J90" i="11" s="1"/>
  <c r="E90" i="11"/>
  <c r="G90" i="11"/>
  <c r="D91" i="11"/>
  <c r="E91" i="11"/>
  <c r="G91" i="11"/>
  <c r="D92" i="11"/>
  <c r="J92" i="11" s="1"/>
  <c r="E92" i="11"/>
  <c r="G92" i="11"/>
  <c r="D93" i="11"/>
  <c r="E93" i="11"/>
  <c r="G93" i="11"/>
  <c r="D94" i="11"/>
  <c r="E94" i="11"/>
  <c r="G94" i="11"/>
  <c r="D95" i="11"/>
  <c r="E95" i="11"/>
  <c r="G95" i="11"/>
  <c r="D96" i="11"/>
  <c r="E96" i="11"/>
  <c r="G96" i="11"/>
  <c r="J96" i="11" l="1"/>
  <c r="J95" i="11"/>
  <c r="I91" i="11"/>
  <c r="I96" i="11"/>
  <c r="I95" i="11"/>
  <c r="I90" i="11"/>
  <c r="H95" i="11"/>
  <c r="H90" i="11"/>
  <c r="I86" i="11"/>
  <c r="I92" i="11"/>
  <c r="I89" i="11"/>
  <c r="H89" i="11"/>
  <c r="J88" i="11"/>
  <c r="H96" i="11"/>
  <c r="J84" i="11"/>
  <c r="H94" i="11"/>
  <c r="J94" i="11"/>
  <c r="I94" i="11"/>
  <c r="J87" i="11"/>
  <c r="H87" i="11"/>
  <c r="J85" i="11"/>
  <c r="H85" i="11"/>
  <c r="I87" i="11"/>
  <c r="I85" i="11"/>
  <c r="J91" i="11"/>
  <c r="H91" i="11"/>
  <c r="H86" i="11"/>
  <c r="I84" i="11"/>
  <c r="H93" i="11"/>
  <c r="I93" i="11"/>
  <c r="J93" i="11"/>
  <c r="J83" i="11"/>
  <c r="H83" i="11"/>
  <c r="I83" i="11"/>
  <c r="H92" i="11"/>
  <c r="I88" i="11"/>
  <c r="K96" i="11" l="1"/>
  <c r="K86" i="11"/>
  <c r="K95" i="11"/>
  <c r="K90" i="11"/>
  <c r="K84" i="11"/>
  <c r="K89" i="11"/>
  <c r="K91" i="11"/>
  <c r="K92" i="11"/>
  <c r="K88" i="11"/>
  <c r="K87" i="11"/>
  <c r="K94" i="11"/>
  <c r="K85" i="11"/>
  <c r="K93" i="11"/>
  <c r="K83" i="11"/>
  <c r="E7" i="64" l="1"/>
  <c r="G6" i="11" l="1"/>
  <c r="D14" i="11" l="1"/>
  <c r="J14" i="11" s="1"/>
  <c r="J105" i="11" s="1"/>
  <c r="E14" i="11"/>
  <c r="G14" i="11"/>
  <c r="K19" i="60"/>
  <c r="D19" i="60"/>
  <c r="H14" i="11" l="1"/>
  <c r="H105" i="11" s="1"/>
  <c r="I14" i="11"/>
  <c r="I105" i="11" s="1"/>
  <c r="K14" i="11" l="1"/>
  <c r="K105" i="11" s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05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05" i="11"/>
  <c r="D106" i="11"/>
  <c r="H106" i="11" s="1"/>
  <c r="E106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0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13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05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06" i="11"/>
  <c r="I106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106" i="11"/>
  <c r="K108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08" i="11"/>
  <c r="H109" i="11" s="1"/>
  <c r="I108" i="11"/>
  <c r="I109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4" i="29" l="1"/>
  <c r="F337" i="29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10" i="11"/>
  <c r="I110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09" i="11" l="1"/>
  <c r="K110" i="11" s="1"/>
  <c r="B111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08" i="11"/>
  <c r="J10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1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K35" i="39" l="1"/>
  <c r="F784" i="41"/>
  <c r="F807" i="41"/>
  <c r="F827" i="4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<sst xmlns="http://schemas.openxmlformats.org/spreadsheetml/2006/main" count="4769" uniqueCount="1633">
  <si>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</si>
  <si>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</si>
  <si>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</si>
  <si>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</si>
  <si>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</si>
  <si>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</si>
  <si>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</si>
  <si>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</si>
  <si>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</si>
  <si>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</si>
  <si>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</si>
  <si>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</si>
  <si>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</si>
  <si>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</si>
  <si>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</si>
  <si>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</si>
  <si>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</si>
  <si>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</si>
  <si>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</si>
  <si>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</si>
  <si>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</si>
  <si>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</si>
  <si>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</si>
  <si>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</si>
  <si>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</si>
  <si>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</si>
  <si>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</si>
  <si>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</si>
  <si>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</si>
  <si>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</si>
  <si>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</si>
  <si>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</si>
  <si>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</si>
  <si>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</si>
  <si>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</si>
  <si>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</si>
  <si>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</si>
  <si>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</si>
  <si>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</si>
  <si>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</si>
  <si>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</si>
  <si>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</si>
  <si>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</si>
  <si>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</si>
  <si>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</si>
  <si>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</si>
  <si>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</si>
  <si>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</si>
  <si>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</si>
  <si>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</si>
  <si>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</si>
  <si>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</si>
  <si>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</si>
  <si>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</si>
  <si>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</si>
  <si>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</si>
  <si>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</si>
  <si>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</si>
  <si>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</si>
  <si>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</si>
  <si>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</si>
  <si>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</si>
  <si>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</si>
  <si>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</si>
  <si>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</si>
  <si>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</si>
  <si>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</si>
  <si>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</si>
  <si>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</si>
  <si>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</si>
  <si>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</si>
  <si>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</si>
  <si>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</si>
  <si>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</si>
  <si>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</si>
  <si>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</si>
  <si>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</si>
  <si>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</si>
  <si>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</si>
  <si>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</si>
  <si>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</si>
  <si>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</si>
  <si>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</si>
  <si>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</si>
  <si>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</si>
  <si>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</si>
  <si>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</si>
  <si>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</si>
  <si>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</si>
  <si>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</si>
  <si>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</si>
  <si>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</si>
  <si>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</si>
  <si>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</si>
  <si>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</si>
  <si>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</si>
  <si>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</si>
  <si>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</si>
  <si>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</si>
  <si>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</si>
  <si>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</si>
  <si>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</si>
  <si>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</si>
  <si>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</si>
  <si>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</si>
  <si>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</si>
  <si>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</si>
  <si>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</si>
  <si>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</si>
  <si>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</si>
  <si>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</si>
  <si>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</si>
  <si>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</si>
  <si>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</si>
  <si>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</si>
  <si>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</si>
  <si>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</si>
  <si>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</si>
  <si>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</si>
  <si>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</si>
  <si>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</si>
  <si>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</si>
  <si>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</si>
  <si>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</si>
  <si>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</si>
  <si>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</si>
  <si>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</si>
  <si>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</si>
  <si>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</si>
  <si>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</si>
  <si>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</si>
  <si>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</si>
  <si>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</si>
  <si>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</si>
  <si>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</si>
  <si>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</si>
  <si>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</si>
  <si>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</si>
  <si>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</si>
  <si>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</si>
  <si>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</si>
  <si>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</si>
  <si>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</si>
  <si>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</si>
  <si>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</si>
  <si>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</si>
  <si>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</si>
  <si>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</si>
  <si>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</si>
  <si>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</si>
  <si>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</si>
  <si>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</si>
  <si>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</si>
  <si>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</si>
  <si>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</si>
  <si>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</si>
  <si>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</si>
  <si>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</si>
  <si>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</si>
  <si>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</si>
  <si>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</si>
  <si>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</si>
  <si>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</si>
  <si>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</si>
  <si>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</si>
  <si>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</si>
  <si>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</si>
  <si>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</si>
  <si>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</si>
  <si>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</si>
  <si>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</si>
  <si>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</si>
  <si>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</si>
  <si>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</si>
  <si>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</si>
  <si>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</si>
  <si>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</si>
  <si>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</si>
  <si>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</si>
  <si>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</si>
  <si>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</si>
  <si>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</si>
  <si>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</si>
  <si>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</si>
  <si>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</si>
  <si>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</si>
  <si>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</si>
  <si>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</si>
  <si>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</si>
  <si>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</si>
  <si>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</si>
  <si>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</si>
  <si>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</si>
  <si>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</si>
  <si>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</si>
  <si>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</si>
  <si>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</si>
  <si>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</si>
  <si>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</si>
  <si>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</si>
  <si>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</si>
  <si>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</si>
  <si>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</si>
  <si>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</si>
  <si>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</si>
  <si>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</si>
  <si>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</si>
  <si>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</si>
  <si>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</si>
  <si>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</si>
  <si>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</si>
  <si>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</si>
  <si>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</si>
  <si>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</si>
  <si>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</si>
  <si>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</si>
  <si>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</si>
  <si>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</si>
  <si>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</si>
  <si>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</si>
  <si>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</si>
  <si>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</si>
  <si>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</si>
  <si>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</si>
  <si>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</si>
  <si>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</si>
  <si>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</si>
  <si>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</si>
  <si>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</si>
  <si>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</si>
  <si>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</si>
  <si>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</si>
  <si>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</si>
  <si>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</si>
  <si>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</si>
  <si>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</si>
  <si>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</si>
  <si>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</si>
  <si>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</si>
  <si>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</si>
  <si>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</si>
  <si>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</si>
  <si>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</si>
  <si>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</si>
  <si>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</si>
  <si>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</si>
  <si>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</si>
  <si>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</si>
  <si>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</si>
  <si>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</si>
  <si>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</si>
  <si>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</si>
  <si>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</si>
  <si>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</si>
  <si>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</si>
  <si>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</si>
  <si>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</si>
  <si>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</si>
  <si>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</si>
  <si>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</si>
  <si>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</si>
  <si>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</si>
  <si>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</si>
  <si>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</si>
  <si>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</si>
  <si>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</si>
  <si>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</si>
  <si>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</si>
  <si>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</si>
  <si>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</si>
  <si>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</si>
  <si>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</si>
  <si>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</si>
  <si>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</si>
  <si>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</si>
  <si>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</si>
  <si>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</si>
  <si>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</si>
  <si>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</si>
  <si>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</si>
  <si>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</si>
  <si>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</si>
  <si>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</si>
  <si>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</si>
  <si>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</si>
  <si>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</si>
  <si>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</si>
  <si>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</si>
  <si>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</si>
  <si>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</si>
  <si>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</si>
  <si>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</si>
  <si>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</si>
  <si>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</si>
  <si>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</si>
  <si>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</si>
  <si>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</si>
  <si>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</si>
  <si>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</si>
  <si>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</si>
  <si>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</si>
  <si>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</si>
  <si>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</si>
  <si>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</si>
  <si>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</si>
  <si>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</si>
  <si>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</si>
  <si>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</si>
  <si>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</si>
  <si>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</si>
  <si>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</si>
  <si>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</si>
  <si>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</si>
  <si>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</si>
  <si>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</si>
  <si>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</si>
  <si>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</si>
  <si>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</si>
  <si>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</si>
  <si>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</si>
  <si>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</si>
  <si>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</si>
  <si>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</si>
  <si>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</si>
  <si>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</si>
  <si>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</si>
  <si>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</si>
  <si>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</si>
  <si>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</si>
  <si>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</si>
  <si>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</si>
  <si>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</si>
  <si>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</si>
  <si>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</si>
  <si>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</si>
  <si>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</si>
  <si>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</si>
  <si>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</si>
  <si>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</si>
  <si>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</si>
  <si>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</si>
  <si>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</si>
  <si>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</si>
  <si>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</si>
  <si>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</si>
  <si>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</si>
  <si>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</si>
  <si>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</si>
  <si>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</si>
  <si>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</si>
  <si>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</si>
  <si>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</si>
  <si>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</si>
  <si>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</si>
  <si>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</si>
  <si>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</si>
  <si>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</si>
  <si>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</si>
  <si>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</si>
  <si>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</si>
  <si>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</si>
  <si>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</si>
  <si>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</si>
  <si>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</si>
  <si>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</si>
  <si>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</si>
  <si>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</si>
  <si>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</si>
  <si>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</si>
  <si>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</si>
  <si>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</si>
  <si>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</si>
  <si>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</si>
  <si>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</si>
  <si>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</si>
  <si>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</si>
  <si>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</si>
  <si>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</si>
  <si>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</si>
  <si>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</si>
  <si>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</si>
  <si>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</si>
  <si>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</si>
  <si>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</si>
  <si>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</si>
  <si>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</si>
  <si>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</si>
  <si>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</si>
  <si>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</si>
  <si>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</si>
  <si>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</si>
  <si>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</si>
  <si>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</si>
  <si>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</si>
  <si>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</si>
  <si>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</si>
  <si>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</si>
  <si>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</si>
  <si>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</si>
  <si>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</si>
  <si>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</si>
  <si>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</si>
  <si>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</si>
  <si>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</si>
  <si>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</si>
  <si>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</si>
  <si>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</si>
  <si>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</si>
  <si>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</si>
  <si>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</si>
  <si>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</si>
  <si>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</si>
  <si>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</si>
  <si>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</si>
  <si>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</si>
  <si>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</si>
  <si>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</si>
  <si>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</si>
  <si>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</si>
  <si>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</si>
  <si>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</si>
  <si>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</si>
  <si>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</si>
  <si>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</si>
  <si>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</si>
  <si>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</si>
  <si>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</si>
  <si>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</si>
  <si>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</si>
  <si>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</si>
  <si>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</si>
  <si>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</si>
  <si>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</si>
  <si>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</si>
  <si>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</si>
  <si>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</si>
  <si>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</si>
  <si>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</si>
  <si>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</si>
  <si>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</si>
  <si>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</si>
  <si>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</si>
  <si>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</si>
  <si>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</si>
  <si>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</si>
  <si>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</si>
  <si>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</si>
  <si>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</si>
  <si>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</si>
  <si>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</si>
  <si>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</si>
  <si>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</si>
  <si>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</si>
  <si>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</si>
  <si>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</si>
  <si>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</si>
  <si>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</si>
  <si>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</si>
  <si>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</si>
  <si>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</si>
  <si>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</si>
  <si>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</si>
  <si>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</si>
  <si>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</si>
  <si>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</si>
  <si>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</si>
  <si>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</si>
  <si>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</si>
  <si>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</si>
  <si>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</si>
  <si>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</si>
  <si>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</si>
  <si>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</si>
  <si>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</si>
  <si>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</si>
  <si>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</si>
  <si>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</si>
  <si>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</si>
  <si>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</si>
  <si>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</si>
  <si>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</si>
  <si>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</si>
  <si>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</si>
  <si>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</si>
  <si>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</si>
  <si>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</si>
  <si>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</si>
  <si>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</si>
  <si>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</si>
  <si>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</si>
  <si>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</si>
  <si>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</si>
  <si>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</si>
  <si>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</si>
  <si>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</si>
  <si>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</si>
  <si>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</si>
  <si>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</si>
  <si>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</si>
  <si>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</si>
  <si>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</si>
  <si>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</si>
  <si>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</si>
  <si>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</si>
  <si>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</si>
  <si>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</si>
  <si>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</si>
  <si>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</si>
  <si>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</si>
  <si>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</si>
  <si>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</si>
  <si>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</si>
  <si>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</si>
  <si>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</si>
  <si>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</si>
  <si>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</si>
  <si>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</si>
  <si>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</si>
  <si>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</si>
  <si>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</si>
  <si>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</si>
  <si>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</si>
  <si>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</si>
  <si>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</si>
  <si>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</si>
  <si>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</si>
  <si>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</si>
  <si>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</si>
  <si>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</si>
  <si>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</si>
  <si>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</si>
  <si>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</si>
  <si>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</si>
  <si>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</si>
  <si>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</si>
  <si>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</si>
  <si>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</si>
  <si>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</si>
  <si>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</si>
  <si>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</si>
  <si>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</si>
  <si>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</si>
  <si>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</si>
  <si>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</si>
  <si>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</si>
  <si>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</si>
  <si>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</si>
  <si>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</si>
  <si>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</si>
  <si>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</si>
  <si>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</si>
  <si>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</si>
  <si>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</si>
  <si>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</si>
  <si>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</si>
  <si>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</si>
  <si>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</si>
  <si>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</si>
  <si>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</si>
  <si>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</si>
  <si>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</si>
  <si>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</si>
  <si>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</si>
  <si>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</si>
  <si>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</si>
  <si>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</si>
  <si>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</si>
  <si>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</si>
  <si>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</si>
  <si>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</si>
  <si>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</si>
  <si>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</si>
  <si>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</si>
  <si>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</si>
  <si>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</si>
  <si>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</si>
  <si>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</si>
  <si>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</si>
  <si>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</si>
  <si>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</si>
  <si>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</si>
  <si>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</si>
  <si>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</si>
  <si>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</si>
  <si>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</si>
  <si>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</si>
  <si>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</si>
  <si>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</si>
  <si>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</si>
  <si>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</si>
  <si>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</si>
  <si>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</si>
  <si>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</si>
  <si>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</si>
  <si>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</si>
  <si>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</si>
  <si>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</si>
  <si>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</si>
  <si>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</si>
  <si>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</si>
  <si>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</si>
  <si>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</si>
  <si>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</si>
  <si>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</si>
  <si>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</si>
  <si>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</si>
  <si>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</si>
  <si>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</si>
  <si>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</si>
  <si>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</si>
  <si>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</si>
  <si>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</si>
  <si>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</si>
  <si>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</si>
  <si>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</si>
  <si>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</si>
  <si>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</si>
  <si>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</si>
  <si>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</si>
  <si>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</si>
  <si>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</si>
  <si>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</si>
  <si>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</si>
  <si>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</si>
  <si>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</si>
  <si>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</si>
  <si>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</si>
  <si>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</si>
  <si>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</si>
  <si>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</si>
  <si>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</si>
  <si>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</si>
  <si>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</si>
  <si>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</si>
  <si>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</si>
  <si>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</si>
  <si>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</si>
  <si>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</si>
  <si>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</si>
  <si>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</si>
  <si>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</si>
  <si>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</si>
  <si>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</si>
  <si>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</si>
  <si>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</si>
  <si>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</si>
  <si>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</si>
  <si>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</si>
  <si>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</si>
  <si>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</si>
  <si>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</si>
  <si>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</si>
  <si>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</si>
  <si>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</si>
  <si>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</si>
  <si>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</si>
  <si>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</si>
  <si>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</si>
  <si>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</si>
  <si>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</si>
  <si>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</si>
  <si>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</si>
  <si>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</si>
  <si>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</si>
  <si>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</si>
  <si>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</si>
  <si>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</si>
  <si>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</si>
  <si>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</si>
  <si>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</si>
  <si>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</si>
  <si>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</si>
  <si>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</si>
  <si>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</si>
  <si>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</si>
  <si>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</si>
  <si>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</si>
  <si>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</si>
  <si>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</si>
  <si>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</si>
  <si>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</si>
  <si>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</si>
  <si>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</si>
  <si>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</si>
  <si>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</si>
  <si>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</si>
  <si>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</si>
  <si>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</si>
  <si>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</si>
  <si>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</si>
  <si>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</si>
  <si>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</si>
  <si>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</si>
  <si>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</si>
  <si>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</si>
  <si>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</si>
  <si>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</si>
  <si>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</si>
  <si>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</si>
  <si>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</si>
  <si>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</si>
  <si>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</si>
  <si>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</si>
  <si>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</si>
  <si>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</si>
  <si>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</si>
  <si>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</si>
  <si>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</si>
  <si>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</si>
  <si>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</si>
  <si>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</si>
  <si>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</si>
  <si>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</si>
  <si>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</si>
  <si>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</si>
  <si>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</si>
  <si>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</si>
  <si>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</si>
  <si>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</si>
  <si>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</si>
  <si>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</si>
  <si>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</si>
  <si>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</si>
  <si>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</si>
  <si>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</si>
  <si>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</si>
  <si>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</si>
  <si>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</si>
  <si>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</si>
  <si>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</si>
  <si>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</si>
  <si>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</si>
  <si>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</si>
  <si>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</si>
  <si>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</si>
  <si>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</si>
  <si>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</si>
  <si>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</si>
  <si>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</si>
  <si>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</si>
  <si>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</si>
  <si>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</si>
  <si>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</si>
  <si>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</si>
  <si>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</si>
  <si>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</si>
  <si>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</si>
  <si>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</si>
  <si>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</si>
  <si>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</si>
  <si>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</si>
  <si>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</si>
  <si>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</si>
  <si>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</si>
  <si>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</si>
  <si>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</si>
  <si>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</si>
  <si>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</si>
  <si>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</si>
  <si>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</si>
  <si>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</si>
  <si>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</si>
  <si>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</si>
  <si>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</si>
  <si>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</si>
  <si>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</si>
  <si>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</si>
  <si>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</si>
  <si>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</si>
  <si>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</si>
  <si>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</si>
  <si>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</si>
  <si>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</si>
  <si>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</si>
  <si>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</si>
  <si>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</si>
  <si>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</si>
  <si>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</si>
  <si>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</si>
  <si>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</si>
  <si>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</si>
  <si>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</si>
  <si>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</si>
  <si>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</si>
  <si>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</si>
  <si>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</si>
  <si>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</si>
  <si>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</si>
  <si>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</si>
  <si>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</si>
  <si>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</si>
  <si>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</si>
  <si>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</si>
  <si>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</si>
  <si>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</si>
  <si>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</si>
  <si>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</si>
  <si>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</si>
  <si>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</si>
  <si>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</si>
  <si>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</si>
  <si>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</si>
  <si>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</si>
  <si>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</si>
  <si>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</si>
  <si>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</si>
  <si>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</si>
  <si>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</si>
  <si>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</si>
  <si>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</si>
  <si>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</si>
  <si>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</si>
  <si>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</si>
  <si>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</si>
  <si>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</si>
  <si>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</si>
  <si>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</si>
  <si>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</si>
  <si>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</si>
  <si>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</si>
  <si>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</si>
  <si>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</si>
  <si>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</si>
  <si>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</si>
  <si>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</si>
  <si>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</si>
  <si>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</si>
  <si>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</si>
  <si>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</si>
  <si>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</si>
  <si>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</si>
  <si>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</si>
  <si>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</si>
  <si>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</si>
  <si>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</si>
  <si>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</si>
  <si>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</si>
  <si>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</si>
  <si>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</si>
  <si>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</si>
  <si>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</si>
  <si>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</si>
  <si>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</si>
  <si>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</si>
  <si>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</si>
  <si>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</si>
  <si>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</si>
  <si>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</si>
  <si>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</si>
  <si>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</si>
  <si>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</si>
  <si>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</si>
  <si>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</si>
  <si>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</si>
  <si>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</si>
  <si>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</si>
  <si>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</si>
  <si>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</si>
  <si>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</si>
  <si>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</si>
  <si>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</si>
  <si>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</si>
  <si>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</si>
  <si>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</si>
  <si>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</si>
  <si>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</si>
  <si>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</si>
  <si>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</si>
  <si>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</si>
  <si>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</si>
  <si>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</si>
  <si>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</si>
  <si>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</si>
  <si>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</si>
  <si>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</si>
  <si>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</si>
  <si>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</si>
  <si>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</si>
  <si>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</si>
  <si>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</si>
  <si>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</si>
  <si>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</si>
  <si>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</si>
  <si>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</si>
  <si>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</si>
  <si>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</si>
  <si>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</si>
  <si>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</si>
  <si>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</si>
  <si>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</si>
  <si>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</si>
  <si>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</si>
  <si>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</si>
  <si>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</si>
  <si>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</si>
  <si>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</si>
  <si>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</si>
  <si>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</si>
  <si>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</si>
  <si>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</si>
  <si>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</si>
  <si>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</si>
  <si>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</si>
  <si>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</si>
  <si>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</si>
  <si>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</si>
  <si>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</si>
  <si>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</si>
  <si>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</si>
  <si>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</si>
  <si>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</si>
  <si>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</si>
  <si>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</si>
  <si>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</si>
  <si>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</si>
  <si>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</si>
  <si>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</si>
  <si>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</si>
  <si>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</si>
  <si>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</si>
  <si>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</si>
  <si>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</si>
  <si>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</si>
  <si>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</si>
  <si>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</si>
  <si>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</si>
  <si>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</si>
  <si>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</si>
  <si>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</si>
  <si>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</si>
  <si>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</si>
  <si>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</si>
  <si>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</si>
  <si>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</si>
  <si>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</si>
  <si>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</si>
  <si>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</si>
  <si>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</si>
  <si>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</si>
  <si>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</si>
  <si>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</si>
  <si>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</si>
  <si>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</si>
  <si>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</si>
  <si>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</si>
  <si>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</si>
  <si>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</si>
  <si>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</si>
  <si>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</si>
  <si>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</si>
  <si>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</si>
  <si>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</si>
  <si>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</si>
  <si>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</si>
  <si>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</si>
  <si>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</si>
  <si>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</si>
  <si>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</si>
  <si>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</si>
  <si>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</si>
  <si>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</si>
  <si>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</si>
  <si>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</si>
  <si>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</si>
  <si>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</si>
  <si>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</si>
  <si>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</si>
  <si>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</si>
  <si>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</si>
  <si>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</si>
  <si>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</si>
  <si>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</si>
  <si>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</si>
  <si>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</si>
  <si>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</si>
  <si>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</si>
  <si>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</si>
  <si>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</si>
  <si>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</si>
  <si>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</si>
  <si>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</si>
  <si>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</si>
  <si>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</si>
  <si>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</si>
  <si>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</si>
  <si>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</si>
  <si>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</si>
  <si>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</si>
  <si>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</si>
  <si>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</si>
  <si>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</si>
  <si>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</si>
  <si>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</si>
  <si>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</si>
  <si>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</si>
  <si>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</si>
  <si>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</si>
  <si>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</si>
  <si>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</si>
  <si>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</si>
  <si>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</si>
  <si>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</si>
  <si>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</si>
  <si>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</si>
  <si>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</si>
  <si>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</si>
  <si>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</si>
  <si>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</si>
  <si>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</si>
  <si>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</si>
  <si>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</si>
  <si>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</si>
  <si>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</si>
  <si>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</si>
  <si>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</si>
  <si>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</si>
  <si>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</si>
  <si>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</si>
  <si>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</si>
  <si>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</si>
  <si>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</si>
  <si>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</si>
  <si>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</si>
  <si>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</si>
  <si>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</si>
  <si>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</si>
  <si>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</si>
  <si>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</si>
  <si>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</si>
  <si>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</si>
  <si>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</si>
  <si>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</si>
  <si>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</si>
  <si>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</si>
  <si>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</si>
  <si>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</si>
  <si>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</si>
  <si>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</si>
  <si>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</si>
  <si>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</si>
  <si>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</si>
  <si>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</si>
  <si>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</si>
  <si>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</si>
  <si>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</si>
  <si>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</si>
  <si>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</si>
  <si>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</si>
  <si>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</si>
  <si>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</si>
  <si>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</si>
  <si>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</si>
  <si>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</si>
  <si>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</si>
  <si>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</si>
  <si>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</si>
  <si>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</si>
  <si>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</si>
  <si>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</si>
  <si>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</si>
  <si>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</si>
  <si>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</si>
  <si>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</si>
  <si>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</si>
  <si>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</si>
  <si>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</si>
  <si>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</si>
  <si>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</si>
  <si>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</si>
  <si>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</si>
  <si>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</si>
  <si>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</si>
  <si>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</si>
  <si>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</si>
  <si>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</si>
  <si>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</si>
  <si>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</si>
  <si>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</si>
  <si>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</si>
  <si>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</si>
  <si>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</si>
  <si>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</si>
  <si>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</si>
  <si>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</si>
  <si>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</si>
  <si>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</si>
  <si>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</si>
  <si>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</si>
  <si>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</si>
  <si>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</si>
  <si>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</si>
  <si>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</si>
  <si>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</si>
  <si>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</si>
  <si>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</si>
  <si>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</si>
  <si>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</si>
  <si>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</si>
  <si>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</si>
  <si>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</si>
  <si>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</si>
  <si>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</si>
  <si>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</si>
  <si>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</si>
  <si>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</si>
  <si>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</si>
  <si>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</si>
  <si>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</si>
  <si>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</si>
  <si>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</si>
  <si>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</si>
  <si>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</si>
  <si>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</si>
  <si>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</si>
  <si>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</si>
  <si>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</si>
  <si>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</si>
  <si>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</si>
  <si>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</si>
  <si>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</si>
  <si>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</si>
  <si>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</si>
  <si>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</si>
  <si>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</si>
  <si>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</si>
  <si>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</si>
  <si>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</si>
  <si>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</si>
  <si>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</si>
  <si>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</si>
  <si>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</si>
  <si>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</si>
  <si>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</si>
  <si>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</si>
  <si>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</si>
  <si>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</si>
  <si>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</si>
  <si>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</si>
  <si>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</si>
  <si>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</si>
  <si>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</si>
  <si>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</si>
  <si>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</si>
  <si>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</si>
  <si>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</si>
  <si>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</si>
  <si>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</si>
  <si>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</si>
  <si>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</si>
  <si>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</si>
  <si>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</si>
  <si>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</si>
  <si>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</si>
  <si>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</si>
  <si>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</si>
  <si>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</si>
  <si>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</si>
  <si>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</si>
  <si>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</si>
  <si>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</si>
  <si>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</si>
  <si>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</si>
  <si>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</si>
  <si>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</si>
  <si>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</si>
  <si>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</si>
  <si>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</si>
  <si>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</si>
  <si>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</si>
  <si>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</si>
  <si>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</si>
  <si>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</si>
  <si>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</si>
  <si>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</si>
  <si>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</si>
  <si>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</si>
  <si>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</si>
  <si>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</si>
  <si>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</si>
  <si>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</si>
  <si>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</si>
  <si>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</si>
  <si>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</si>
  <si>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</si>
  <si>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</si>
  <si>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</si>
  <si>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</si>
  <si>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</si>
  <si>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</si>
  <si>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</si>
  <si>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</si>
  <si>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</si>
  <si>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</si>
  <si>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</si>
  <si>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</si>
  <si>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</si>
  <si>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</si>
  <si>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</si>
  <si>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</si>
  <si>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</si>
  <si>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</si>
  <si>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</si>
  <si>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</si>
  <si>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</si>
  <si>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</si>
  <si>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</si>
  <si>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</si>
  <si>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</si>
  <si>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</si>
  <si>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</si>
  <si>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</si>
  <si>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</si>
  <si>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</si>
  <si>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</si>
  <si>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</si>
  <si>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</si>
  <si>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</si>
  <si>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</si>
  <si>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</si>
  <si>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</si>
  <si>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</si>
  <si>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</si>
  <si>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</si>
  <si>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</si>
  <si>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</si>
  <si>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</si>
  <si>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</si>
  <si>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</si>
  <si>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</si>
  <si>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</si>
  <si>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</si>
  <si>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</si>
  <si>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</si>
  <si>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</si>
  <si>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</si>
  <si>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</si>
  <si>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</si>
  <si>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</si>
  <si>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</si>
  <si>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</si>
  <si>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</si>
  <si>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</si>
  <si>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</si>
  <si>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</si>
  <si>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</si>
  <si>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</si>
  <si>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</si>
  <si>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</si>
  <si>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</si>
  <si>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</si>
  <si>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</si>
  <si>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</si>
  <si>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</si>
  <si>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</si>
  <si>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</si>
  <si>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</si>
  <si>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</si>
  <si>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</si>
  <si>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</si>
  <si>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</si>
  <si>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</si>
  <si>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</si>
  <si>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</si>
  <si>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</si>
  <si>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</si>
  <si>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</si>
  <si>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</si>
  <si>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</si>
  <si>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</si>
  <si>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</si>
  <si>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</si>
  <si>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</si>
  <si>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</si>
  <si>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</si>
  <si>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</si>
  <si>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</si>
  <si>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</si>
  <si>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</si>
  <si>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</si>
  <si>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</si>
  <si>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</si>
  <si>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</si>
  <si>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</si>
  <si>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</si>
  <si>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</si>
  <si>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</si>
  <si>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</si>
  <si>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</si>
  <si>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</si>
  <si>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</si>
  <si>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</si>
  <si>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</si>
  <si>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</si>
  <si>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</si>
  <si>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</si>
  <si>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</si>
  <si>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</si>
  <si>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</si>
  <si>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</si>
  <si>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</si>
  <si>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</si>
  <si>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</si>
  <si>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</si>
  <si>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</si>
  <si>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</si>
  <si>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</si>
  <si>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</si>
  <si>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</si>
  <si>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</si>
  <si>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</si>
  <si>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</si>
  <si>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</si>
  <si>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</si>
  <si>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</si>
  <si>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</si>
  <si>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</si>
  <si>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</si>
  <si>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</si>
  <si>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</si>
  <si>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</si>
  <si>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</si>
  <si>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</si>
  <si>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</si>
  <si>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</si>
  <si>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</si>
  <si>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</si>
  <si>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</si>
  <si>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</si>
  <si>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</si>
  <si>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</si>
  <si>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</si>
  <si>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</si>
  <si>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</si>
  <si>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</si>
  <si>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</si>
  <si>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</si>
  <si>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</si>
  <si>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</si>
  <si>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</si>
  <si>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</si>
  <si>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</si>
  <si>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</si>
  <si>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</si>
  <si>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</si>
  <si>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</si>
  <si>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</si>
  <si>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</si>
  <si>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</si>
  <si>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</si>
  <si>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</si>
  <si>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</si>
  <si>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</si>
  <si>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</si>
  <si>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</si>
  <si>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</si>
  <si>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</si>
  <si>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</si>
  <si>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</si>
  <si>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</si>
  <si>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</si>
  <si>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</si>
  <si>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</si>
  <si>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</si>
  <si>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</si>
  <si>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</si>
  <si>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</si>
  <si>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</si>
  <si>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</si>
  <si>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</si>
  <si>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</si>
  <si>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</si>
  <si>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</si>
  <si>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</si>
  <si>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</si>
  <si>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</si>
  <si>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</si>
  <si>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</si>
  <si>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</si>
  <si>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</si>
  <si>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</si>
  <si>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</si>
  <si>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</si>
  <si>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</si>
  <si>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</si>
  <si>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</si>
  <si>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</si>
  <si>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</si>
  <si>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</si>
  <si>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</si>
  <si>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</si>
  <si>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</si>
  <si>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</si>
  <si>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</si>
  <si>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</si>
  <si>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</si>
  <si>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</si>
  <si>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</si>
  <si>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</si>
  <si>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</si>
  <si>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</si>
  <si>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</si>
  <si>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</si>
  <si>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</si>
  <si>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</si>
  <si>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</si>
  <si>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</si>
  <si>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</si>
  <si>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</si>
  <si>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</si>
  <si>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</si>
  <si>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</si>
  <si>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</si>
  <si>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</si>
  <si>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</si>
  <si>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</si>
  <si>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</si>
  <si>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</si>
  <si>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</si>
  <si>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</si>
  <si>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</si>
  <si>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</si>
  <si>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</si>
  <si>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</si>
  <si>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</si>
  <si>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</si>
  <si>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</si>
  <si>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</si>
  <si>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</si>
  <si>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</si>
  <si>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</si>
  <si>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</si>
  <si>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</si>
  <si>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</si>
  <si>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</si>
  <si>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</si>
  <si>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</si>
  <si>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</si>
  <si>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</si>
  <si>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</si>
  <si>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</si>
  <si>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</si>
  <si>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</si>
  <si>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</si>
  <si>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</si>
  <si>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</si>
  <si>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</si>
  <si>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</si>
  <si>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</si>
  <si>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</si>
  <si>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</si>
  <si>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</si>
  <si>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</si>
  <si>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</si>
  <si>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</si>
  <si>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</si>
  <si>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</si>
  <si>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</si>
  <si>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</si>
  <si>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</si>
  <si>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</si>
  <si>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</si>
  <si>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</si>
  <si>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</si>
  <si>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</si>
  <si>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</si>
  <si>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</si>
  <si>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</si>
  <si>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</si>
  <si>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</si>
  <si>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</si>
  <si>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</si>
  <si>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</si>
  <si>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</si>
  <si>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</si>
  <si>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</si>
  <si>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</si>
  <si>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</si>
  <si>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</si>
  <si>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</si>
  <si>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</si>
  <si>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</si>
  <si>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</si>
  <si>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</si>
  <si>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</si>
  <si>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</si>
  <si>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</si>
  <si>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</si>
  <si>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</si>
  <si>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</si>
  <si>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</si>
  <si>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</si>
  <si>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</si>
  <si>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</si>
  <si>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</si>
  <si>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</si>
  <si>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</si>
  <si>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</si>
  <si>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</si>
  <si>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</si>
  <si>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</si>
  <si>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</si>
  <si>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</si>
  <si>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</si>
  <si>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</si>
  <si>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</si>
  <si>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</si>
  <si>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</si>
  <si>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</si>
  <si>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</si>
  <si>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</si>
  <si>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</si>
  <si>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</si>
  <si>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</si>
  <si>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</si>
  <si>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</si>
  <si>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</si>
  <si>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</si>
  <si>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</si>
  <si>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</si>
  <si>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</si>
  <si>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</si>
  <si>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</si>
  <si>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</si>
  <si>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</si>
  <si>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</si>
  <si>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</si>
  <si>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</si>
  <si>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</si>
  <si>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</si>
  <si>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</si>
  <si>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</si>
  <si>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</si>
  <si>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</si>
  <si>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</si>
  <si>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</si>
  <si>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</si>
  <si>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</si>
  <si>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</si>
  <si>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</si>
  <si>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</si>
  <si>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</si>
  <si>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</si>
  <si>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</si>
  <si>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</si>
  <si>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</si>
  <si>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</si>
  <si>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</si>
  <si>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</si>
  <si>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</si>
  <si>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</si>
  <si>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</si>
  <si>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</si>
  <si>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</si>
  <si>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</si>
  <si>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</si>
  <si>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</si>
  <si>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</si>
  <si>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</si>
  <si>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</si>
  <si>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</si>
  <si>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</si>
  <si>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</si>
  <si>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</si>
  <si>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</si>
  <si>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</si>
  <si>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</si>
  <si>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</si>
  <si>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</si>
  <si>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</si>
  <si>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</si>
  <si>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</si>
  <si>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</si>
  <si>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</si>
  <si>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</si>
  <si>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</si>
  <si>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</si>
  <si>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</si>
  <si>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</si>
  <si>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</si>
  <si>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</si>
  <si>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</si>
  <si>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</si>
  <si>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</si>
  <si>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</si>
  <si>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</si>
  <si>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</si>
  <si>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</si>
  <si>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</si>
  <si>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</si>
  <si>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</si>
  <si>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</si>
  <si>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</si>
  <si>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</si>
  <si>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</si>
  <si>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</si>
  <si>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</si>
  <si>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</si>
  <si>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</si>
  <si>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</si>
  <si>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</si>
  <si>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</si>
  <si>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</si>
  <si>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</si>
  <si>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</si>
  <si>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TRAFO</t>
  </si>
  <si>
    <t>PEMASANGAN APP</t>
  </si>
  <si>
    <t>Pemasangan APP 3 Fasa Di Bangunan</t>
  </si>
  <si>
    <t>II</t>
  </si>
  <si>
    <t xml:space="preserve">Jumper Wire : </t>
  </si>
  <si>
    <t>NFA2X-T 3 x 70 + N 50 mm²</t>
  </si>
  <si>
    <t>CM2-11M</t>
  </si>
  <si>
    <t>Stainless Steel Strap 20 X 0.7 mm</t>
  </si>
  <si>
    <t>CM2-11</t>
  </si>
  <si>
    <t>Daya 53.000 VA</t>
  </si>
  <si>
    <t>SYG7-60</t>
  </si>
  <si>
    <t>SYG 07</t>
  </si>
  <si>
    <t>CRBC WIKA-PP JO</t>
  </si>
  <si>
    <t>B2</t>
  </si>
  <si>
    <t>Trafo 3 Fasa 50 KVA 1 Tiang (G312-A)</t>
  </si>
  <si>
    <t>Sepatu Kabel AL/CU Ring-70 mm²</t>
  </si>
  <si>
    <t>CJ6-T</t>
  </si>
  <si>
    <t>DS SIDOGEMAH SAYUNG</t>
  </si>
  <si>
    <t>-6.938667, 110.516238</t>
  </si>
  <si>
    <t>CE1-3</t>
  </si>
  <si>
    <t>F1-3</t>
  </si>
  <si>
    <t>CM2-12A</t>
  </si>
  <si>
    <t>Demak, 25 Oktober 2923</t>
  </si>
  <si>
    <t xml:space="preserve">Manager ULP </t>
  </si>
  <si>
    <t xml:space="preserve">Staf Teknik </t>
  </si>
  <si>
    <t xml:space="preserve">TL Teknik </t>
  </si>
  <si>
    <t xml:space="preserve">Manager </t>
  </si>
  <si>
    <t xml:space="preserve">Asman REN </t>
  </si>
  <si>
    <t xml:space="preserve">ACHMAD SUHENDRO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</si>
</sst>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4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5653">
    <xf numFmtId="0" fontId="0" fillId="0" borderId="0"/>
    <xf numFmtId="172" fontId="45" fillId="0" borderId="0">
      <alignment horizontal="centerContinuous"/>
    </xf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67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4" fontId="39" fillId="0" borderId="0" applyFill="0" applyBorder="0" applyAlignment="0"/>
    <xf numFmtId="174" fontId="25" fillId="0" borderId="0" applyFill="0" applyBorder="0" applyAlignment="0"/>
    <xf numFmtId="175" fontId="39" fillId="0" borderId="0" applyFill="0" applyBorder="0" applyAlignment="0"/>
    <xf numFmtId="175" fontId="25" fillId="0" borderId="0" applyFill="0" applyBorder="0" applyAlignment="0"/>
    <xf numFmtId="176" fontId="39" fillId="0" borderId="0" applyFill="0" applyBorder="0" applyAlignment="0"/>
    <xf numFmtId="176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167" fontId="108" fillId="0" borderId="0" applyFont="0" applyFill="0" applyBorder="0" applyAlignment="0" applyProtection="0"/>
    <xf numFmtId="0" fontId="68" fillId="0" borderId="0"/>
    <xf numFmtId="0" fontId="68" fillId="0" borderId="0"/>
    <xf numFmtId="0" fontId="68" fillId="0" borderId="0"/>
    <xf numFmtId="167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9" fontId="39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8" fontId="39" fillId="0" borderId="0" applyFont="0" applyFill="0" applyBorder="0" applyAlignment="0" applyProtection="0"/>
    <xf numFmtId="168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80" fontId="39" fillId="0" borderId="0" applyFont="0" applyFill="0" applyBorder="0" applyAlignment="0" applyProtection="0"/>
    <xf numFmtId="180" fontId="25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51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0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5" fillId="0" borderId="0" applyFont="0" applyFill="0" applyBorder="0" applyAlignment="0" applyProtection="0"/>
    <xf numFmtId="177" fontId="39" fillId="0" borderId="0" applyFont="0" applyFill="0" applyBorder="0" applyAlignment="0" applyProtection="0"/>
    <xf numFmtId="177" fontId="25" fillId="0" borderId="0" applyFont="0" applyFill="0" applyBorder="0" applyAlignment="0" applyProtection="0"/>
    <xf numFmtId="169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6" fillId="0" borderId="0" applyFont="0" applyFill="0" applyBorder="0" applyAlignment="0" applyProtection="0"/>
    <xf numFmtId="171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81" fontId="39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181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82" fontId="39" fillId="0" borderId="0" applyFont="0" applyFill="0" applyBorder="0" applyAlignment="0" applyProtection="0"/>
    <xf numFmtId="182" fontId="39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9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184" fontId="39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39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39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50" fillId="0" borderId="0" applyFont="0" applyFill="0" applyBorder="0" applyAlignment="0" applyProtection="0"/>
    <xf numFmtId="185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25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206" fontId="25" fillId="0" borderId="0" applyFont="0" applyFill="0" applyBorder="0" applyAlignment="0" applyProtection="0"/>
    <xf numFmtId="205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71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72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3" fontId="73" fillId="0" borderId="0" applyFont="0" applyFill="0" applyBorder="0" applyAlignment="0" applyProtection="0"/>
    <xf numFmtId="0" fontId="74" fillId="0" borderId="0" applyNumberFormat="0" applyAlignment="0">
      <alignment horizontal="left"/>
    </xf>
    <xf numFmtId="0" fontId="68" fillId="0" borderId="0"/>
    <xf numFmtId="0" fontId="68" fillId="0" borderId="0"/>
    <xf numFmtId="186" fontId="39" fillId="0" borderId="3"/>
    <xf numFmtId="186" fontId="25" fillId="0" borderId="3"/>
    <xf numFmtId="164" fontId="26" fillId="0" borderId="0" applyFont="0" applyFill="0" applyBorder="0" applyAlignment="0" applyProtection="0"/>
    <xf numFmtId="164" fontId="51" fillId="0" borderId="0" applyFont="0" applyFill="0" applyBorder="0" applyAlignment="0" applyProtection="0"/>
    <xf numFmtId="173" fontId="39" fillId="0" borderId="0" applyFont="0" applyFill="0" applyBorder="0" applyAlignment="0" applyProtection="0"/>
    <xf numFmtId="17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66" fontId="39" fillId="0" borderId="0" applyFont="0" applyFill="0" applyBorder="0" applyAlignment="0" applyProtection="0"/>
    <xf numFmtId="166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73" fillId="0" borderId="0" applyFont="0" applyFill="0" applyBorder="0" applyAlignment="0" applyProtection="0"/>
    <xf numFmtId="188" fontId="75" fillId="0" borderId="0">
      <protection locked="0"/>
    </xf>
    <xf numFmtId="14" fontId="67" fillId="0" borderId="0" applyFill="0" applyBorder="0" applyAlignment="0"/>
    <xf numFmtId="189" fontId="76" fillId="0" borderId="0">
      <protection locked="0"/>
    </xf>
    <xf numFmtId="0" fontId="77" fillId="0" borderId="0"/>
    <xf numFmtId="0" fontId="77" fillId="0" borderId="4"/>
    <xf numFmtId="0" fontId="77" fillId="0" borderId="4"/>
    <xf numFmtId="0" fontId="77" fillId="0" borderId="4"/>
    <xf numFmtId="0" fontId="77" fillId="0" borderId="4"/>
    <xf numFmtId="0" fontId="78" fillId="22" borderId="0"/>
    <xf numFmtId="177" fontId="39" fillId="0" borderId="0" applyFill="0" applyBorder="0" applyAlignment="0"/>
    <xf numFmtId="177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79" fillId="0" borderId="0" applyNumberFormat="0" applyAlignment="0">
      <alignment horizontal="left"/>
    </xf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1" fillId="0" borderId="0">
      <protection locked="0"/>
    </xf>
    <xf numFmtId="190" fontId="75" fillId="0" borderId="0">
      <protection locked="0"/>
    </xf>
    <xf numFmtId="0" fontId="82" fillId="0" borderId="5"/>
    <xf numFmtId="0" fontId="82" fillId="0" borderId="5"/>
    <xf numFmtId="0" fontId="82" fillId="0" borderId="5"/>
    <xf numFmtId="0" fontId="82" fillId="0" borderId="5"/>
    <xf numFmtId="0" fontId="82" fillId="0" borderId="4"/>
    <xf numFmtId="0" fontId="82" fillId="0" borderId="4"/>
    <xf numFmtId="0" fontId="82" fillId="23" borderId="4"/>
    <xf numFmtId="0" fontId="82" fillId="23" borderId="4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83" fillId="0" borderId="0" applyNumberFormat="0"/>
    <xf numFmtId="38" fontId="44" fillId="24" borderId="0" applyNumberFormat="0" applyBorder="0" applyAlignment="0" applyProtection="0"/>
    <xf numFmtId="0" fontId="84" fillId="0" borderId="6" applyNumberFormat="0" applyAlignment="0" applyProtection="0">
      <alignment horizontal="left" vertical="center"/>
    </xf>
    <xf numFmtId="0" fontId="84" fillId="0" borderId="7">
      <alignment horizontal="left" vertical="center"/>
    </xf>
    <xf numFmtId="0" fontId="84" fillId="0" borderId="7">
      <alignment horizontal="left" vertical="center"/>
    </xf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3" fillId="0" borderId="8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4" fillId="0" borderId="9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10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91" fontId="80" fillId="0" borderId="0">
      <protection locked="0"/>
    </xf>
    <xf numFmtId="191" fontId="80" fillId="0" borderId="0"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4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36" fillId="7" borderId="1" applyNumberFormat="0" applyAlignment="0" applyProtection="0"/>
    <xf numFmtId="10" fontId="44" fillId="25" borderId="3" applyNumberFormat="0" applyBorder="0" applyAlignment="0" applyProtection="0"/>
    <xf numFmtId="10" fontId="44" fillId="25" borderId="3" applyNumberFormat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177" fontId="39" fillId="0" borderId="0" applyFill="0" applyBorder="0" applyAlignment="0"/>
    <xf numFmtId="177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192" fontId="39" fillId="0" borderId="0" applyFont="0" applyFill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0" fontId="38" fillId="26" borderId="0" applyNumberFormat="0" applyBorder="0" applyAlignment="0" applyProtection="0"/>
    <xf numFmtId="37" fontId="85" fillId="0" borderId="0"/>
    <xf numFmtId="193" fontId="39" fillId="0" borderId="0"/>
    <xf numFmtId="0" fontId="39" fillId="0" borderId="0"/>
    <xf numFmtId="0" fontId="39" fillId="0" borderId="0"/>
    <xf numFmtId="0" fontId="25" fillId="0" borderId="0"/>
    <xf numFmtId="0" fontId="25" fillId="0" borderId="0"/>
    <xf numFmtId="0" fontId="25" fillId="0" borderId="0"/>
    <xf numFmtId="193" fontId="39" fillId="0" borderId="0"/>
    <xf numFmtId="193" fontId="25" fillId="0" borderId="0"/>
    <xf numFmtId="193" fontId="39" fillId="0" borderId="0"/>
    <xf numFmtId="193" fontId="25" fillId="0" borderId="0"/>
    <xf numFmtId="193" fontId="39" fillId="0" borderId="0"/>
    <xf numFmtId="193" fontId="25" fillId="0" borderId="0"/>
    <xf numFmtId="193" fontId="25" fillId="0" borderId="0"/>
    <xf numFmtId="193" fontId="39" fillId="0" borderId="0"/>
    <xf numFmtId="172" fontId="86" fillId="0" borderId="0"/>
    <xf numFmtId="172" fontId="87" fillId="0" borderId="0"/>
    <xf numFmtId="172" fontId="87" fillId="0" borderId="0"/>
    <xf numFmtId="0" fontId="69" fillId="0" borderId="0"/>
    <xf numFmtId="0" fontId="115" fillId="0" borderId="0"/>
    <xf numFmtId="0" fontId="39" fillId="0" borderId="0"/>
    <xf numFmtId="0" fontId="25" fillId="0" borderId="0"/>
    <xf numFmtId="0" fontId="72" fillId="0" borderId="0"/>
    <xf numFmtId="0" fontId="39" fillId="0" borderId="0"/>
    <xf numFmtId="12" fontId="39" fillId="0" borderId="0"/>
    <xf numFmtId="12" fontId="25" fillId="0" borderId="0"/>
    <xf numFmtId="0" fontId="115" fillId="0" borderId="0"/>
    <xf numFmtId="0" fontId="115" fillId="0" borderId="0"/>
    <xf numFmtId="0" fontId="115" fillId="0" borderId="0"/>
    <xf numFmtId="0" fontId="2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88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6" fillId="0" borderId="0"/>
    <xf numFmtId="0" fontId="116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39" fillId="0" borderId="0"/>
    <xf numFmtId="0" fontId="25" fillId="0" borderId="0"/>
    <xf numFmtId="0" fontId="39" fillId="0" borderId="0" applyProtection="0"/>
    <xf numFmtId="0" fontId="25" fillId="0" borderId="0" applyProtection="0"/>
    <xf numFmtId="0" fontId="25" fillId="0" borderId="0"/>
    <xf numFmtId="0" fontId="39" fillId="0" borderId="0"/>
    <xf numFmtId="0" fontId="115" fillId="0" borderId="0"/>
    <xf numFmtId="0" fontId="115" fillId="0" borderId="0"/>
    <xf numFmtId="0" fontId="115" fillId="0" borderId="0"/>
    <xf numFmtId="0" fontId="25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39" fillId="0" borderId="0"/>
    <xf numFmtId="0" fontId="72" fillId="0" borderId="0"/>
    <xf numFmtId="0" fontId="39" fillId="0" borderId="0"/>
    <xf numFmtId="0" fontId="115" fillId="0" borderId="0"/>
    <xf numFmtId="0" fontId="39" fillId="0" borderId="0"/>
    <xf numFmtId="0" fontId="115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115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115" fillId="0" borderId="0"/>
    <xf numFmtId="0" fontId="39" fillId="0" borderId="0"/>
    <xf numFmtId="0" fontId="25" fillId="0" borderId="0"/>
    <xf numFmtId="0" fontId="26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25" fillId="0" borderId="0"/>
    <xf numFmtId="0" fontId="39" fillId="0" borderId="0"/>
    <xf numFmtId="0" fontId="39" fillId="0" borderId="0"/>
    <xf numFmtId="0" fontId="70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25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67" fillId="0" borderId="0">
      <alignment vertical="top"/>
    </xf>
    <xf numFmtId="0" fontId="26" fillId="0" borderId="0"/>
    <xf numFmtId="0" fontId="26" fillId="0" borderId="0"/>
    <xf numFmtId="0" fontId="39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67" fillId="0" borderId="0">
      <alignment vertical="top"/>
    </xf>
    <xf numFmtId="0" fontId="67" fillId="0" borderId="0">
      <alignment vertical="top"/>
    </xf>
    <xf numFmtId="0" fontId="26" fillId="0" borderId="0"/>
    <xf numFmtId="194" fontId="46" fillId="0" borderId="0"/>
    <xf numFmtId="0" fontId="115" fillId="0" borderId="0"/>
    <xf numFmtId="0" fontId="11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1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25" fillId="0" borderId="0"/>
    <xf numFmtId="0" fontId="25" fillId="0" borderId="0"/>
    <xf numFmtId="0" fontId="39" fillId="0" borderId="0" applyNumberFormat="0" applyFont="0" applyFill="0" applyAlignment="0" applyProtection="0"/>
    <xf numFmtId="0" fontId="39" fillId="0" borderId="0" applyNumberFormat="0" applyFont="0" applyFill="0" applyAlignment="0" applyProtection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25" fillId="0" borderId="0" applyNumberFormat="0" applyFont="0" applyFill="0" applyAlignment="0" applyProtection="0"/>
    <xf numFmtId="0" fontId="87" fillId="0" borderId="0"/>
    <xf numFmtId="0" fontId="87" fillId="0" borderId="0"/>
    <xf numFmtId="0" fontId="25" fillId="0" borderId="0" applyNumberFormat="0" applyFont="0" applyFill="0" applyAlignment="0" applyProtection="0"/>
    <xf numFmtId="0" fontId="39" fillId="0" borderId="0"/>
    <xf numFmtId="0" fontId="115" fillId="0" borderId="0"/>
    <xf numFmtId="182" fontId="87" fillId="0" borderId="0"/>
    <xf numFmtId="0" fontId="87" fillId="0" borderId="0"/>
    <xf numFmtId="195" fontId="87" fillId="0" borderId="0"/>
    <xf numFmtId="196" fontId="87" fillId="0" borderId="0"/>
    <xf numFmtId="0" fontId="87" fillId="0" borderId="0"/>
    <xf numFmtId="197" fontId="87" fillId="0" borderId="0"/>
    <xf numFmtId="197" fontId="87" fillId="0" borderId="0"/>
    <xf numFmtId="197" fontId="87" fillId="0" borderId="0"/>
    <xf numFmtId="195" fontId="87" fillId="0" borderId="0"/>
    <xf numFmtId="0" fontId="87" fillId="0" borderId="0"/>
    <xf numFmtId="0" fontId="39" fillId="0" borderId="0"/>
    <xf numFmtId="0" fontId="25" fillId="0" borderId="0"/>
    <xf numFmtId="182" fontId="8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115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39" fillId="0" borderId="0" applyNumberFormat="0" applyFont="0" applyFill="0" applyAlignment="0" applyProtection="0"/>
    <xf numFmtId="0" fontId="39" fillId="0" borderId="0"/>
    <xf numFmtId="0" fontId="25" fillId="0" borderId="0"/>
    <xf numFmtId="0" fontId="39" fillId="0" borderId="0"/>
    <xf numFmtId="0" fontId="25" fillId="0" borderId="0"/>
    <xf numFmtId="0" fontId="25" fillId="0" borderId="0" applyNumberFormat="0" applyFont="0" applyFill="0" applyAlignment="0" applyProtection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6" fillId="0" borderId="0"/>
    <xf numFmtId="0" fontId="116" fillId="0" borderId="0"/>
    <xf numFmtId="0" fontId="116" fillId="0" borderId="0"/>
    <xf numFmtId="0" fontId="11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198" fontId="87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197" fontId="87" fillId="0" borderId="0"/>
    <xf numFmtId="197" fontId="87" fillId="0" borderId="0"/>
    <xf numFmtId="197" fontId="87" fillId="0" borderId="0"/>
    <xf numFmtId="197" fontId="87" fillId="0" borderId="0"/>
    <xf numFmtId="199" fontId="87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6" fillId="0" borderId="0"/>
    <xf numFmtId="0" fontId="26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39" fillId="0" borderId="0"/>
    <xf numFmtId="0" fontId="2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26" fillId="0" borderId="0"/>
    <xf numFmtId="0" fontId="39" fillId="0" borderId="0"/>
    <xf numFmtId="0" fontId="25" fillId="0" borderId="0"/>
    <xf numFmtId="0" fontId="39" fillId="0" borderId="0"/>
    <xf numFmtId="0" fontId="26" fillId="0" borderId="0"/>
    <xf numFmtId="0" fontId="26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39" fillId="0" borderId="0"/>
    <xf numFmtId="0" fontId="25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115" fillId="0" borderId="0"/>
    <xf numFmtId="0" fontId="39" fillId="0" borderId="0"/>
    <xf numFmtId="0" fontId="46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194" fontId="46" fillId="0" borderId="0"/>
    <xf numFmtId="0" fontId="25" fillId="0" borderId="0"/>
    <xf numFmtId="0" fontId="25" fillId="0" borderId="0" applyProtection="0"/>
    <xf numFmtId="0" fontId="115" fillId="0" borderId="0"/>
    <xf numFmtId="0" fontId="115" fillId="0" borderId="0"/>
    <xf numFmtId="0" fontId="115" fillId="0" borderId="0"/>
    <xf numFmtId="0" fontId="25" fillId="0" borderId="0"/>
    <xf numFmtId="0" fontId="25" fillId="0" borderId="0" applyProtection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4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6" fillId="0" borderId="0"/>
    <xf numFmtId="0" fontId="39" fillId="0" borderId="0"/>
    <xf numFmtId="0" fontId="25" fillId="0" borderId="0"/>
    <xf numFmtId="0" fontId="115" fillId="0" borderId="0"/>
    <xf numFmtId="0" fontId="116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25" fillId="0" borderId="0"/>
    <xf numFmtId="0" fontId="39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39" fillId="0" borderId="0"/>
    <xf numFmtId="0" fontId="25" fillId="0" borderId="0"/>
    <xf numFmtId="0" fontId="39" fillId="0" borderId="0"/>
    <xf numFmtId="0" fontId="25" fillId="0" borderId="0"/>
    <xf numFmtId="0" fontId="25" fillId="0" borderId="0"/>
    <xf numFmtId="0" fontId="2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39" fillId="0" borderId="0"/>
    <xf numFmtId="0" fontId="25" fillId="0" borderId="0"/>
    <xf numFmtId="0" fontId="117" fillId="0" borderId="0"/>
    <xf numFmtId="0" fontId="25" fillId="0" borderId="0"/>
    <xf numFmtId="0" fontId="25" fillId="0" borderId="0"/>
    <xf numFmtId="0" fontId="26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6" fillId="0" borderId="0"/>
    <xf numFmtId="0" fontId="26" fillId="0" borderId="0"/>
    <xf numFmtId="0" fontId="116" fillId="0" borderId="0"/>
    <xf numFmtId="0" fontId="70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0" borderId="0"/>
    <xf numFmtId="0" fontId="25" fillId="0" borderId="0"/>
    <xf numFmtId="0" fontId="39" fillId="0" borderId="0"/>
    <xf numFmtId="0" fontId="39" fillId="0" borderId="0" applyProtection="0"/>
    <xf numFmtId="0" fontId="25" fillId="0" borderId="0" applyProtection="0"/>
    <xf numFmtId="0" fontId="25" fillId="0" borderId="0"/>
    <xf numFmtId="0" fontId="39" fillId="0" borderId="0"/>
    <xf numFmtId="0" fontId="25" fillId="0" borderId="0"/>
    <xf numFmtId="194" fontId="46" fillId="0" borderId="0"/>
    <xf numFmtId="194" fontId="46" fillId="0" borderId="0"/>
    <xf numFmtId="0" fontId="11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9" fillId="0" borderId="0"/>
    <xf numFmtId="0" fontId="25" fillId="0" borderId="0"/>
    <xf numFmtId="0" fontId="116" fillId="0" borderId="0"/>
    <xf numFmtId="0" fontId="67" fillId="0" borderId="0">
      <alignment vertical="top"/>
    </xf>
    <xf numFmtId="0" fontId="39" fillId="0" borderId="0"/>
    <xf numFmtId="0" fontId="2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39" fillId="0" borderId="0"/>
    <xf numFmtId="0" fontId="2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9" fillId="27" borderId="12" applyNumberFormat="0" applyFont="0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0" fontId="39" fillId="27" borderId="12" applyNumberFormat="0" applyFont="0" applyAlignment="0" applyProtection="0"/>
    <xf numFmtId="0" fontId="25" fillId="27" borderId="12" applyNumberFormat="0" applyFont="0" applyAlignment="0" applyProtection="0"/>
    <xf numFmtId="0" fontId="39" fillId="27" borderId="12" applyNumberFormat="0" applyFont="0" applyAlignment="0" applyProtection="0"/>
    <xf numFmtId="0" fontId="25" fillId="27" borderId="12" applyNumberFormat="0" applyFont="0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6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39" fillId="27" borderId="12" applyNumberFormat="0" applyFont="0" applyAlignment="0" applyProtection="0"/>
    <xf numFmtId="194" fontId="46" fillId="28" borderId="12" applyAlignment="0" applyProtection="0"/>
    <xf numFmtId="194" fontId="46" fillId="28" borderId="12" applyAlignment="0" applyProtection="0"/>
    <xf numFmtId="0" fontId="25" fillId="27" borderId="12" applyNumberFormat="0" applyFont="0" applyAlignment="0" applyProtection="0"/>
    <xf numFmtId="194" fontId="46" fillId="28" borderId="12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0" fontId="40" fillId="20" borderId="13" applyNumberFormat="0" applyAlignment="0" applyProtection="0"/>
    <xf numFmtId="176" fontId="39" fillId="0" borderId="0" applyFont="0" applyFill="0" applyBorder="0" applyAlignment="0" applyProtection="0"/>
    <xf numFmtId="176" fontId="25" fillId="0" borderId="0" applyFont="0" applyFill="0" applyBorder="0" applyAlignment="0" applyProtection="0"/>
    <xf numFmtId="200" fontId="39" fillId="0" borderId="0" applyFont="0" applyFill="0" applyBorder="0" applyAlignment="0" applyProtection="0"/>
    <xf numFmtId="200" fontId="25" fillId="0" borderId="0" applyFont="0" applyFill="0" applyBorder="0" applyAlignment="0" applyProtection="0"/>
    <xf numFmtId="10" fontId="39" fillId="0" borderId="0" applyFont="0" applyFill="0" applyBorder="0" applyAlignment="0" applyProtection="0"/>
    <xf numFmtId="10" fontId="2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25" fillId="0" borderId="0" applyFont="0" applyFill="0" applyBorder="0" applyAlignment="0" applyProtection="0"/>
    <xf numFmtId="177" fontId="39" fillId="0" borderId="0" applyFill="0" applyBorder="0" applyAlignment="0"/>
    <xf numFmtId="177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177" fontId="39" fillId="0" borderId="0" applyFill="0" applyBorder="0" applyAlignment="0"/>
    <xf numFmtId="177" fontId="25" fillId="0" borderId="0" applyFill="0" applyBorder="0" applyAlignment="0"/>
    <xf numFmtId="178" fontId="39" fillId="0" borderId="0" applyFill="0" applyBorder="0" applyAlignment="0"/>
    <xf numFmtId="178" fontId="25" fillId="0" borderId="0" applyFill="0" applyBorder="0" applyAlignment="0"/>
    <xf numFmtId="173" fontId="39" fillId="0" borderId="0" applyFill="0" applyBorder="0" applyAlignment="0"/>
    <xf numFmtId="173" fontId="25" fillId="0" borderId="0" applyFill="0" applyBorder="0" applyAlignment="0"/>
    <xf numFmtId="0" fontId="77" fillId="0" borderId="0"/>
    <xf numFmtId="201" fontId="90" fillId="0" borderId="0" applyNumberFormat="0" applyFill="0" applyBorder="0" applyAlignment="0" applyProtection="0">
      <alignment horizontal="left"/>
    </xf>
    <xf numFmtId="0" fontId="91" fillId="0" borderId="14"/>
    <xf numFmtId="0" fontId="91" fillId="0" borderId="14"/>
    <xf numFmtId="0" fontId="92" fillId="0" borderId="15"/>
    <xf numFmtId="0" fontId="92" fillId="0" borderId="15"/>
    <xf numFmtId="40" fontId="93" fillId="0" borderId="0" applyBorder="0">
      <alignment horizontal="right"/>
    </xf>
    <xf numFmtId="49" fontId="67" fillId="0" borderId="0" applyFill="0" applyBorder="0" applyAlignment="0"/>
    <xf numFmtId="202" fontId="39" fillId="0" borderId="0" applyFill="0" applyBorder="0" applyAlignment="0"/>
    <xf numFmtId="202" fontId="25" fillId="0" borderId="0" applyFill="0" applyBorder="0" applyAlignment="0"/>
    <xf numFmtId="203" fontId="39" fillId="0" borderId="0" applyFill="0" applyBorder="0" applyAlignment="0"/>
    <xf numFmtId="203" fontId="25" fillId="0" borderId="0" applyFill="0" applyBorder="0" applyAlignment="0"/>
    <xf numFmtId="204" fontId="94" fillId="0" borderId="16" applyFont="0" applyBorder="0" applyAlignment="0">
      <alignment horizontal="righ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2" fillId="0" borderId="17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9" fillId="0" borderId="0"/>
    <xf numFmtId="0" fontId="13" fillId="0" borderId="0"/>
    <xf numFmtId="9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0" fontId="12" fillId="0" borderId="0"/>
    <xf numFmtId="41" fontId="25" fillId="0" borderId="0" applyFont="0" applyFill="0" applyBorder="0" applyAlignment="0" applyProtection="0"/>
    <xf numFmtId="9" fontId="166" fillId="0" borderId="0" applyFont="0" applyFill="0" applyBorder="0" applyAlignment="0" applyProtection="0"/>
    <xf numFmtId="41" fontId="178" fillId="0" borderId="0" applyFont="0" applyFill="0" applyBorder="0" applyAlignment="0" applyProtection="0"/>
    <xf numFmtId="0" fontId="25" fillId="0" borderId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0" fillId="0" borderId="0"/>
    <xf numFmtId="41" fontId="25" fillId="0" borderId="0" applyFont="0" applyFill="0" applyBorder="0" applyAlignment="0" applyProtection="0"/>
    <xf numFmtId="0" fontId="10" fillId="0" borderId="0"/>
    <xf numFmtId="43" fontId="25" fillId="0" borderId="0" applyFont="0" applyFill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7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1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71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1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15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" fillId="0" borderId="0"/>
    <xf numFmtId="0" fontId="19" fillId="0" borderId="0"/>
    <xf numFmtId="0" fontId="1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15" fillId="0" borderId="0" applyFont="0" applyFill="0" applyBorder="0" applyAlignment="0" applyProtection="0"/>
    <xf numFmtId="0" fontId="91" fillId="0" borderId="95"/>
    <xf numFmtId="0" fontId="92" fillId="0" borderId="96"/>
    <xf numFmtId="43" fontId="25" fillId="0" borderId="0" applyFont="0" applyFill="0" applyBorder="0" applyAlignment="0" applyProtection="0"/>
    <xf numFmtId="0" fontId="40" fillId="20" borderId="103" applyNumberFormat="0" applyAlignment="0" applyProtection="0"/>
    <xf numFmtId="0" fontId="19" fillId="27" borderId="102" applyNumberFormat="0" applyFont="0" applyAlignment="0" applyProtection="0"/>
    <xf numFmtId="0" fontId="25" fillId="27" borderId="102" applyNumberFormat="0" applyFont="0" applyAlignment="0" applyProtection="0"/>
    <xf numFmtId="0" fontId="19" fillId="27" borderId="102" applyNumberFormat="0" applyFont="0" applyAlignment="0" applyProtection="0"/>
    <xf numFmtId="0" fontId="19" fillId="27" borderId="102" applyNumberFormat="0" applyFont="0" applyAlignment="0" applyProtection="0"/>
    <xf numFmtId="0" fontId="19" fillId="27" borderId="102" applyNumberFormat="0" applyFont="0" applyAlignment="0" applyProtection="0"/>
    <xf numFmtId="0" fontId="19" fillId="27" borderId="102" applyNumberFormat="0" applyFont="0" applyAlignment="0" applyProtection="0"/>
    <xf numFmtId="0" fontId="19" fillId="27" borderId="102" applyNumberFormat="0" applyFont="0" applyAlignment="0" applyProtection="0"/>
    <xf numFmtId="0" fontId="19" fillId="27" borderId="102" applyNumberFormat="0" applyFont="0" applyAlignment="0" applyProtection="0"/>
    <xf numFmtId="0" fontId="19" fillId="27" borderId="102" applyNumberFormat="0" applyFont="0" applyAlignment="0" applyProtection="0"/>
    <xf numFmtId="0" fontId="19" fillId="27" borderId="102" applyNumberFormat="0" applyFont="0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30" fillId="21" borderId="99" applyNumberFormat="0" applyAlignment="0" applyProtection="0"/>
    <xf numFmtId="0" fontId="36" fillId="7" borderId="107" applyNumberFormat="0" applyAlignment="0" applyProtection="0"/>
    <xf numFmtId="0" fontId="42" fillId="0" borderId="104" applyNumberFormat="0" applyFill="0" applyAlignment="0" applyProtection="0"/>
    <xf numFmtId="0" fontId="9" fillId="0" borderId="0"/>
    <xf numFmtId="0" fontId="9" fillId="0" borderId="0"/>
    <xf numFmtId="0" fontId="91" fillId="0" borderId="106"/>
    <xf numFmtId="0" fontId="25" fillId="27" borderId="108" applyNumberFormat="0" applyFont="0" applyAlignment="0" applyProtection="0"/>
    <xf numFmtId="0" fontId="40" fillId="20" borderId="109" applyNumberFormat="0" applyAlignment="0" applyProtection="0"/>
    <xf numFmtId="0" fontId="42" fillId="0" borderId="110" applyNumberFormat="0" applyFill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0" fontId="40" fillId="20" borderId="103" applyNumberFormat="0" applyAlignment="0" applyProtection="0"/>
    <xf numFmtId="194" fontId="46" fillId="28" borderId="102" applyAlignment="0" applyProtection="0"/>
    <xf numFmtId="0" fontId="25" fillId="27" borderId="102" applyNumberFormat="0" applyFont="0" applyAlignment="0" applyProtection="0"/>
    <xf numFmtId="194" fontId="46" fillId="28" borderId="102" applyAlignment="0" applyProtection="0"/>
    <xf numFmtId="0" fontId="25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25" fillId="27" borderId="102" applyNumberFormat="0" applyFont="0" applyAlignment="0" applyProtection="0"/>
    <xf numFmtId="194" fontId="46" fillId="28" borderId="102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25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25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25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25" fillId="27" borderId="102" applyNumberFormat="0" applyFont="0" applyAlignment="0" applyProtection="0"/>
    <xf numFmtId="0" fontId="25" fillId="27" borderId="102" applyNumberFormat="0" applyFont="0" applyAlignment="0" applyProtection="0"/>
    <xf numFmtId="0" fontId="25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194" fontId="46" fillId="28" borderId="102" applyAlignment="0" applyProtection="0"/>
    <xf numFmtId="0" fontId="19" fillId="27" borderId="102" applyNumberFormat="0" applyFont="0" applyAlignment="0" applyProtection="0"/>
    <xf numFmtId="0" fontId="25" fillId="27" borderId="102" applyNumberFormat="0" applyFont="0" applyAlignment="0" applyProtection="0"/>
    <xf numFmtId="194" fontId="46" fillId="28" borderId="102" applyAlignment="0" applyProtection="0"/>
    <xf numFmtId="0" fontId="25" fillId="27" borderId="102" applyNumberFormat="0" applyFont="0" applyAlignment="0" applyProtection="0"/>
    <xf numFmtId="194" fontId="46" fillId="28" borderId="102" applyAlignment="0" applyProtection="0"/>
    <xf numFmtId="0" fontId="25" fillId="27" borderId="102" applyNumberFormat="0" applyFont="0" applyAlignment="0" applyProtection="0"/>
    <xf numFmtId="194" fontId="46" fillId="28" borderId="102" applyAlignment="0" applyProtection="0"/>
    <xf numFmtId="0" fontId="25" fillId="27" borderId="102" applyNumberFormat="0" applyFont="0" applyAlignment="0" applyProtection="0"/>
    <xf numFmtId="194" fontId="46" fillId="28" borderId="102" applyAlignment="0" applyProtection="0"/>
    <xf numFmtId="0" fontId="25" fillId="27" borderId="102" applyNumberFormat="0" applyFont="0" applyAlignment="0" applyProtection="0"/>
    <xf numFmtId="194" fontId="46" fillId="28" borderId="102" applyAlignment="0" applyProtection="0"/>
    <xf numFmtId="0" fontId="25" fillId="27" borderId="102" applyNumberFormat="0" applyFont="0" applyAlignment="0" applyProtection="0"/>
    <xf numFmtId="0" fontId="9" fillId="0" borderId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30" fillId="21" borderId="99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0" fontId="36" fillId="7" borderId="101" applyNumberFormat="0" applyAlignment="0" applyProtection="0"/>
    <xf numFmtId="43" fontId="9" fillId="0" borderId="0" applyFont="0" applyFill="0" applyBorder="0" applyAlignment="0" applyProtection="0"/>
    <xf numFmtId="0" fontId="82" fillId="23" borderId="105"/>
    <xf numFmtId="0" fontId="82" fillId="0" borderId="105"/>
    <xf numFmtId="0" fontId="82" fillId="0" borderId="100"/>
    <xf numFmtId="0" fontId="82" fillId="0" borderId="100"/>
    <xf numFmtId="0" fontId="77" fillId="0" borderId="105"/>
    <xf numFmtId="0" fontId="77" fillId="0" borderId="105"/>
    <xf numFmtId="0" fontId="77" fillId="0" borderId="111"/>
    <xf numFmtId="0" fontId="77" fillId="0" borderId="111"/>
    <xf numFmtId="0" fontId="82" fillId="0" borderId="111"/>
    <xf numFmtId="0" fontId="82" fillId="23" borderId="111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29" fillId="20" borderId="101" applyNumberFormat="0" applyAlignment="0" applyProtection="0"/>
    <xf numFmtId="0" fontId="9" fillId="0" borderId="0"/>
    <xf numFmtId="0" fontId="9" fillId="0" borderId="0"/>
    <xf numFmtId="0" fontId="25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0" fontId="25" fillId="27" borderId="108" applyNumberFormat="0" applyFont="0" applyAlignment="0" applyProtection="0"/>
    <xf numFmtId="0" fontId="25" fillId="27" borderId="108" applyNumberFormat="0" applyFont="0" applyAlignment="0" applyProtection="0"/>
    <xf numFmtId="0" fontId="25" fillId="27" borderId="108" applyNumberFormat="0" applyFont="0" applyAlignment="0" applyProtection="0"/>
    <xf numFmtId="0" fontId="19" fillId="27" borderId="108" applyNumberFormat="0" applyFont="0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194" fontId="46" fillId="28" borderId="108" applyAlignment="0" applyProtection="0"/>
    <xf numFmtId="0" fontId="40" fillId="20" borderId="103" applyNumberFormat="0" applyAlignment="0" applyProtection="0"/>
    <xf numFmtId="0" fontId="25" fillId="27" borderId="102" applyNumberFormat="0" applyFont="0" applyAlignment="0" applyProtection="0"/>
    <xf numFmtId="0" fontId="36" fillId="7" borderId="101" applyNumberFormat="0" applyAlignment="0" applyProtection="0"/>
    <xf numFmtId="0" fontId="29" fillId="20" borderId="101" applyNumberFormat="0" applyAlignment="0" applyProtection="0"/>
    <xf numFmtId="194" fontId="46" fillId="28" borderId="108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36" fillId="7" borderId="107" applyNumberFormat="0" applyAlignment="0" applyProtection="0"/>
    <xf numFmtId="0" fontId="29" fillId="20" borderId="107" applyNumberFormat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42" fillId="0" borderId="104" applyNumberFormat="0" applyFill="0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91" fillId="0" borderId="112"/>
    <xf numFmtId="0" fontId="36" fillId="7" borderId="107" applyNumberFormat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0" fontId="29" fillId="20" borderId="107" applyNumberFormat="0" applyAlignment="0" applyProtection="0"/>
    <xf numFmtId="43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7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6" fillId="7" borderId="107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6" fillId="7" borderId="107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77" fillId="0" borderId="111"/>
    <xf numFmtId="0" fontId="77" fillId="0" borderId="111"/>
    <xf numFmtId="0" fontId="82" fillId="0" borderId="100"/>
    <xf numFmtId="0" fontId="82" fillId="0" borderId="100"/>
    <xf numFmtId="0" fontId="82" fillId="0" borderId="111"/>
    <xf numFmtId="0" fontId="82" fillId="23" borderId="111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36" fillId="7" borderId="107" applyNumberFormat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0" fontId="25" fillId="27" borderId="108" applyNumberFormat="0" applyFont="0" applyAlignment="0" applyProtection="0"/>
    <xf numFmtId="0" fontId="25" fillId="27" borderId="108" applyNumberFormat="0" applyFont="0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194" fontId="46" fillId="28" borderId="108" applyAlignment="0" applyProtection="0"/>
    <xf numFmtId="0" fontId="19" fillId="27" borderId="108" applyNumberFormat="0" applyFont="0" applyAlignment="0" applyProtection="0"/>
    <xf numFmtId="9" fontId="25" fillId="0" borderId="0" applyFont="0" applyFill="0" applyBorder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194" fontId="46" fillId="28" borderId="108" applyAlignment="0" applyProtection="0"/>
    <xf numFmtId="0" fontId="25" fillId="27" borderId="108" applyNumberFormat="0" applyFon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0" fontId="40" fillId="20" borderId="109" applyNumberFormat="0" applyAlignment="0" applyProtection="0"/>
    <xf numFmtId="9" fontId="25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91" fillId="0" borderId="113"/>
    <xf numFmtId="0" fontId="91" fillId="0" borderId="113"/>
    <xf numFmtId="0" fontId="92" fillId="0" borderId="114"/>
    <xf numFmtId="0" fontId="92" fillId="0" borderId="114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42" fillId="0" borderId="110" applyNumberFormat="0" applyFill="0" applyAlignment="0" applyProtection="0"/>
    <xf numFmtId="0" fontId="11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7" borderId="131" applyNumberFormat="0" applyFont="0" applyAlignment="0" applyProtection="0"/>
    <xf numFmtId="0" fontId="25" fillId="27" borderId="131" applyNumberFormat="0" applyFont="0" applyAlignment="0" applyProtection="0"/>
    <xf numFmtId="0" fontId="29" fillId="20" borderId="117" applyNumberFormat="0" applyAlignment="0" applyProtection="0"/>
    <xf numFmtId="0" fontId="77" fillId="0" borderId="140"/>
    <xf numFmtId="0" fontId="36" fillId="7" borderId="107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36" fillId="7" borderId="117" applyNumberFormat="0" applyAlignment="0" applyProtection="0"/>
    <xf numFmtId="0" fontId="19" fillId="27" borderId="125" applyNumberFormat="0" applyFont="0" applyAlignment="0" applyProtection="0"/>
    <xf numFmtId="0" fontId="7" fillId="0" borderId="0"/>
    <xf numFmtId="0" fontId="36" fillId="7" borderId="117" applyNumberFormat="0" applyAlignment="0" applyProtection="0"/>
    <xf numFmtId="0" fontId="29" fillId="20" borderId="124" applyNumberFormat="0" applyAlignment="0" applyProtection="0"/>
    <xf numFmtId="0" fontId="36" fillId="7" borderId="117" applyNumberFormat="0" applyAlignment="0" applyProtection="0"/>
    <xf numFmtId="0" fontId="29" fillId="20" borderId="136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7" fillId="0" borderId="0"/>
    <xf numFmtId="194" fontId="46" fillId="28" borderId="125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25" fillId="0" borderId="0"/>
    <xf numFmtId="0" fontId="19" fillId="27" borderId="131" applyNumberFormat="0" applyFont="0" applyAlignment="0" applyProtection="0"/>
    <xf numFmtId="194" fontId="46" fillId="28" borderId="131" applyAlignment="0" applyProtection="0"/>
    <xf numFmtId="194" fontId="46" fillId="28" borderId="131" applyAlignment="0" applyProtection="0"/>
    <xf numFmtId="0" fontId="29" fillId="20" borderId="124" applyNumberFormat="0" applyAlignment="0" applyProtection="0"/>
    <xf numFmtId="0" fontId="36" fillId="7" borderId="124" applyNumberFormat="0" applyAlignment="0" applyProtection="0"/>
    <xf numFmtId="0" fontId="36" fillId="7" borderId="136" applyNumberFormat="0" applyAlignment="0" applyProtection="0"/>
    <xf numFmtId="0" fontId="25" fillId="27" borderId="125" applyNumberFormat="0" applyFont="0" applyAlignment="0" applyProtection="0"/>
    <xf numFmtId="0" fontId="40" fillId="20" borderId="126" applyNumberFormat="0" applyAlignment="0" applyProtection="0"/>
    <xf numFmtId="0" fontId="91" fillId="0" borderId="123"/>
    <xf numFmtId="194" fontId="46" fillId="28" borderId="131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0" fontId="25" fillId="27" borderId="131" applyNumberFormat="0" applyFont="0" applyAlignment="0" applyProtection="0"/>
    <xf numFmtId="0" fontId="25" fillId="27" borderId="131" applyNumberFormat="0" applyFont="0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25" fillId="27" borderId="131" applyNumberFormat="0" applyFont="0" applyAlignment="0" applyProtection="0"/>
    <xf numFmtId="194" fontId="46" fillId="28" borderId="131" applyAlignment="0" applyProtection="0"/>
    <xf numFmtId="194" fontId="46" fillId="28" borderId="131" applyAlignment="0" applyProtection="0"/>
    <xf numFmtId="0" fontId="25" fillId="27" borderId="131" applyNumberFormat="0" applyFont="0" applyAlignment="0" applyProtection="0"/>
    <xf numFmtId="194" fontId="46" fillId="28" borderId="131" applyAlignment="0" applyProtection="0"/>
    <xf numFmtId="0" fontId="25" fillId="27" borderId="131" applyNumberFormat="0" applyFont="0" applyAlignment="0" applyProtection="0"/>
    <xf numFmtId="194" fontId="46" fillId="28" borderId="131" applyAlignment="0" applyProtection="0"/>
    <xf numFmtId="0" fontId="25" fillId="27" borderId="131" applyNumberFormat="0" applyFon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43" fontId="25" fillId="0" borderId="0" applyFont="0" applyFill="0" applyBorder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36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29" fillId="20" borderId="124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07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36" fillId="7" borderId="130" applyNumberFormat="0" applyAlignment="0" applyProtection="0"/>
    <xf numFmtId="0" fontId="82" fillId="23" borderId="134"/>
    <xf numFmtId="0" fontId="82" fillId="0" borderId="134"/>
    <xf numFmtId="0" fontId="77" fillId="0" borderId="134"/>
    <xf numFmtId="0" fontId="77" fillId="0" borderId="134"/>
    <xf numFmtId="43" fontId="7" fillId="0" borderId="0" applyFont="0" applyFill="0" applyBorder="0" applyAlignment="0" applyProtection="0"/>
    <xf numFmtId="0" fontId="77" fillId="0" borderId="140"/>
    <xf numFmtId="0" fontId="77" fillId="0" borderId="128"/>
    <xf numFmtId="0" fontId="77" fillId="0" borderId="128"/>
    <xf numFmtId="0" fontId="82" fillId="0" borderId="140"/>
    <xf numFmtId="0" fontId="82" fillId="23" borderId="140"/>
    <xf numFmtId="0" fontId="82" fillId="0" borderId="128"/>
    <xf numFmtId="0" fontId="77" fillId="0" borderId="118"/>
    <xf numFmtId="0" fontId="77" fillId="0" borderId="118"/>
    <xf numFmtId="0" fontId="77" fillId="0" borderId="118"/>
    <xf numFmtId="0" fontId="77" fillId="0" borderId="118"/>
    <xf numFmtId="0" fontId="82" fillId="23" borderId="128"/>
    <xf numFmtId="0" fontId="82" fillId="0" borderId="118"/>
    <xf numFmtId="0" fontId="82" fillId="0" borderId="118"/>
    <xf numFmtId="0" fontId="82" fillId="23" borderId="118"/>
    <xf numFmtId="0" fontId="82" fillId="23" borderId="118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24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36" fillId="7" borderId="136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36" fillId="7" borderId="117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29" fillId="20" borderId="130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5" fillId="27" borderId="137" applyNumberFormat="0" applyFont="0" applyAlignment="0" applyProtection="0"/>
    <xf numFmtId="194" fontId="46" fillId="28" borderId="137" applyAlignment="0" applyProtection="0"/>
    <xf numFmtId="194" fontId="46" fillId="28" borderId="137" applyAlignment="0" applyProtection="0"/>
    <xf numFmtId="194" fontId="46" fillId="28" borderId="137" applyAlignment="0" applyProtection="0"/>
    <xf numFmtId="0" fontId="25" fillId="27" borderId="137" applyNumberFormat="0" applyFont="0" applyAlignment="0" applyProtection="0"/>
    <xf numFmtId="0" fontId="25" fillId="27" borderId="137" applyNumberFormat="0" applyFont="0" applyAlignment="0" applyProtection="0"/>
    <xf numFmtId="194" fontId="46" fillId="28" borderId="137" applyAlignment="0" applyProtection="0"/>
    <xf numFmtId="0" fontId="25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25" fillId="27" borderId="125" applyNumberFormat="0" applyFont="0" applyAlignment="0" applyProtection="0"/>
    <xf numFmtId="0" fontId="25" fillId="27" borderId="125" applyNumberFormat="0" applyFont="0" applyAlignment="0" applyProtection="0"/>
    <xf numFmtId="194" fontId="46" fillId="28" borderId="125" applyAlignment="0" applyProtection="0"/>
    <xf numFmtId="0" fontId="25" fillId="27" borderId="125" applyNumberFormat="0" applyFont="0" applyAlignment="0" applyProtection="0"/>
    <xf numFmtId="194" fontId="46" fillId="28" borderId="125" applyAlignment="0" applyProtection="0"/>
    <xf numFmtId="0" fontId="25" fillId="27" borderId="125" applyNumberFormat="0" applyFont="0" applyAlignment="0" applyProtection="0"/>
    <xf numFmtId="194" fontId="46" fillId="28" borderId="125" applyAlignment="0" applyProtection="0"/>
    <xf numFmtId="0" fontId="25" fillId="27" borderId="125" applyNumberFormat="0" applyFont="0" applyAlignment="0" applyProtection="0"/>
    <xf numFmtId="194" fontId="46" fillId="28" borderId="125" applyAlignment="0" applyProtection="0"/>
    <xf numFmtId="0" fontId="25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25" fillId="27" borderId="125" applyNumberFormat="0" applyFont="0" applyAlignment="0" applyProtection="0"/>
    <xf numFmtId="0" fontId="25" fillId="27" borderId="125" applyNumberFormat="0" applyFont="0" applyAlignment="0" applyProtection="0"/>
    <xf numFmtId="0" fontId="25" fillId="27" borderId="125" applyNumberFormat="0" applyFont="0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194" fontId="46" fillId="28" borderId="125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25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0" fontId="25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0" fontId="36" fillId="7" borderId="117" applyNumberFormat="0" applyAlignment="0" applyProtection="0"/>
    <xf numFmtId="0" fontId="36" fillId="7" borderId="124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36" fillId="7" borderId="136" applyNumberFormat="0" applyAlignment="0" applyProtection="0"/>
    <xf numFmtId="0" fontId="91" fillId="0" borderId="115"/>
    <xf numFmtId="0" fontId="92" fillId="0" borderId="116"/>
    <xf numFmtId="0" fontId="36" fillId="7" borderId="124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29" fillId="20" borderId="117" applyNumberFormat="0" applyAlignment="0" applyProtection="0"/>
    <xf numFmtId="0" fontId="36" fillId="7" borderId="130" applyNumberFormat="0" applyAlignment="0" applyProtection="0"/>
    <xf numFmtId="0" fontId="36" fillId="7" borderId="107" applyNumberFormat="0" applyAlignment="0" applyProtection="0"/>
    <xf numFmtId="0" fontId="36" fillId="7" borderId="117" applyNumberFormat="0" applyAlignment="0" applyProtection="0"/>
    <xf numFmtId="0" fontId="25" fillId="27" borderId="137" applyNumberFormat="0" applyFont="0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25" fillId="0" borderId="0"/>
    <xf numFmtId="194" fontId="46" fillId="28" borderId="125" applyAlignment="0" applyProtection="0"/>
    <xf numFmtId="0" fontId="25" fillId="0" borderId="0"/>
    <xf numFmtId="0" fontId="36" fillId="7" borderId="136" applyNumberFormat="0" applyAlignment="0" applyProtection="0"/>
    <xf numFmtId="0" fontId="36" fillId="7" borderId="136" applyNumberForma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194" fontId="46" fillId="28" borderId="125" applyAlignment="0" applyProtection="0"/>
    <xf numFmtId="0" fontId="25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7" fillId="0" borderId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25" fillId="27" borderId="125" applyNumberFormat="0" applyFont="0" applyAlignment="0" applyProtection="0"/>
    <xf numFmtId="194" fontId="46" fillId="28" borderId="125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194" fontId="46" fillId="28" borderId="125" applyAlignment="0" applyProtection="0"/>
    <xf numFmtId="0" fontId="25" fillId="27" borderId="125" applyNumberFormat="0" applyFont="0" applyAlignment="0" applyProtection="0"/>
    <xf numFmtId="194" fontId="46" fillId="28" borderId="125" applyAlignment="0" applyProtection="0"/>
    <xf numFmtId="0" fontId="25" fillId="27" borderId="125" applyNumberFormat="0" applyFont="0" applyAlignment="0" applyProtection="0"/>
    <xf numFmtId="194" fontId="46" fillId="28" borderId="125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0" fontId="40" fillId="20" borderId="126" applyNumberForma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0" fontId="25" fillId="27" borderId="137" applyNumberFormat="0" applyFont="0" applyAlignment="0" applyProtection="0"/>
    <xf numFmtId="0" fontId="25" fillId="27" borderId="137" applyNumberFormat="0" applyFont="0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7" fillId="0" borderId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194" fontId="46" fillId="28" borderId="137" applyAlignment="0" applyProtection="0"/>
    <xf numFmtId="0" fontId="40" fillId="20" borderId="132" applyNumberFormat="0" applyAlignment="0" applyProtection="0"/>
    <xf numFmtId="0" fontId="25" fillId="27" borderId="131" applyNumberFormat="0" applyFont="0" applyAlignment="0" applyProtection="0"/>
    <xf numFmtId="0" fontId="91" fillId="0" borderId="129"/>
    <xf numFmtId="0" fontId="7" fillId="0" borderId="0"/>
    <xf numFmtId="0" fontId="29" fillId="20" borderId="130" applyNumberFormat="0" applyAlignment="0" applyProtection="0"/>
    <xf numFmtId="0" fontId="42" fillId="0" borderId="127" applyNumberFormat="0" applyFill="0" applyAlignment="0" applyProtection="0"/>
    <xf numFmtId="0" fontId="42" fillId="0" borderId="127" applyNumberFormat="0" applyFill="0" applyAlignment="0" applyProtection="0"/>
    <xf numFmtId="0" fontId="42" fillId="0" borderId="127" applyNumberFormat="0" applyFill="0" applyAlignment="0" applyProtection="0"/>
    <xf numFmtId="0" fontId="42" fillId="0" borderId="127" applyNumberFormat="0" applyFill="0" applyAlignment="0" applyProtection="0"/>
    <xf numFmtId="0" fontId="25" fillId="27" borderId="119" applyNumberFormat="0" applyFont="0" applyAlignment="0" applyProtection="0"/>
    <xf numFmtId="0" fontId="25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25" fillId="27" borderId="119" applyNumberFormat="0" applyFont="0" applyAlignment="0" applyProtection="0"/>
    <xf numFmtId="0" fontId="25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25" fillId="27" borderId="119" applyNumberFormat="0" applyFont="0" applyAlignment="0" applyProtection="0"/>
    <xf numFmtId="0" fontId="25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25" fillId="27" borderId="119" applyNumberFormat="0" applyFont="0" applyAlignment="0" applyProtection="0"/>
    <xf numFmtId="0" fontId="25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25" fillId="27" borderId="119" applyNumberFormat="0" applyFont="0" applyAlignment="0" applyProtection="0"/>
    <xf numFmtId="0" fontId="25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25" fillId="27" borderId="119" applyNumberFormat="0" applyFont="0" applyAlignment="0" applyProtection="0"/>
    <xf numFmtId="0" fontId="25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25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25" fillId="27" borderId="119" applyNumberFormat="0" applyFont="0" applyAlignment="0" applyProtection="0"/>
    <xf numFmtId="0" fontId="25" fillId="27" borderId="119" applyNumberFormat="0" applyFont="0" applyAlignment="0" applyProtection="0"/>
    <xf numFmtId="0" fontId="25" fillId="27" borderId="119" applyNumberFormat="0" applyFont="0" applyAlignment="0" applyProtection="0"/>
    <xf numFmtId="0" fontId="25" fillId="27" borderId="119" applyNumberFormat="0" applyFont="0" applyAlignment="0" applyProtection="0"/>
    <xf numFmtId="0" fontId="25" fillId="27" borderId="119" applyNumberFormat="0" applyFont="0" applyAlignment="0" applyProtection="0"/>
    <xf numFmtId="0" fontId="25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25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25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25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25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25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25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25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25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25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25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19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19" fillId="27" borderId="119" applyNumberFormat="0" applyFont="0" applyAlignment="0" applyProtection="0"/>
    <xf numFmtId="0" fontId="25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25" fillId="27" borderId="119" applyNumberFormat="0" applyFont="0" applyAlignment="0" applyProtection="0"/>
    <xf numFmtId="0" fontId="25" fillId="27" borderId="119" applyNumberFormat="0" applyFont="0" applyAlignment="0" applyProtection="0"/>
    <xf numFmtId="194" fontId="46" fillId="28" borderId="119" applyAlignment="0" applyProtection="0"/>
    <xf numFmtId="194" fontId="46" fillId="28" borderId="119" applyAlignment="0" applyProtection="0"/>
    <xf numFmtId="0" fontId="25" fillId="27" borderId="119" applyNumberFormat="0" applyFon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0" fillId="20" borderId="120" applyNumberFormat="0" applyAlignment="0" applyProtection="0"/>
    <xf numFmtId="0" fontId="42" fillId="0" borderId="127" applyNumberFormat="0" applyFill="0" applyAlignment="0" applyProtection="0"/>
    <xf numFmtId="0" fontId="42" fillId="0" borderId="127" applyNumberFormat="0" applyFill="0" applyAlignment="0" applyProtection="0"/>
    <xf numFmtId="0" fontId="42" fillId="0" borderId="127" applyNumberFormat="0" applyFill="0" applyAlignment="0" applyProtection="0"/>
    <xf numFmtId="0" fontId="42" fillId="0" borderId="127" applyNumberFormat="0" applyFill="0" applyAlignment="0" applyProtection="0"/>
    <xf numFmtId="0" fontId="42" fillId="0" borderId="127" applyNumberFormat="0" applyFill="0" applyAlignment="0" applyProtection="0"/>
    <xf numFmtId="0" fontId="42" fillId="0" borderId="127" applyNumberFormat="0" applyFill="0" applyAlignment="0" applyProtection="0"/>
    <xf numFmtId="0" fontId="42" fillId="0" borderId="127" applyNumberFormat="0" applyFill="0" applyAlignment="0" applyProtection="0"/>
    <xf numFmtId="0" fontId="42" fillId="0" borderId="127" applyNumberFormat="0" applyFill="0" applyAlignment="0" applyProtection="0"/>
    <xf numFmtId="0" fontId="42" fillId="0" borderId="127" applyNumberFormat="0" applyFill="0" applyAlignment="0" applyProtection="0"/>
    <xf numFmtId="0" fontId="42" fillId="0" borderId="127" applyNumberFormat="0" applyFill="0" applyAlignment="0" applyProtection="0"/>
    <xf numFmtId="0" fontId="42" fillId="0" borderId="127" applyNumberFormat="0" applyFill="0" applyAlignment="0" applyProtection="0"/>
    <xf numFmtId="194" fontId="46" fillId="28" borderId="137" applyAlignment="0" applyProtection="0"/>
    <xf numFmtId="194" fontId="46" fillId="28" borderId="137" applyAlignment="0" applyProtection="0"/>
    <xf numFmtId="0" fontId="91" fillId="0" borderId="122"/>
    <xf numFmtId="0" fontId="91" fillId="0" borderId="122"/>
    <xf numFmtId="0" fontId="19" fillId="27" borderId="137" applyNumberFormat="0" applyFont="0" applyAlignment="0" applyProtection="0"/>
    <xf numFmtId="0" fontId="25" fillId="0" borderId="0"/>
    <xf numFmtId="0" fontId="25" fillId="27" borderId="131" applyNumberFormat="0" applyFont="0" applyAlignment="0" applyProtection="0"/>
    <xf numFmtId="0" fontId="36" fillId="7" borderId="124" applyNumberFormat="0" applyAlignment="0" applyProtection="0"/>
    <xf numFmtId="0" fontId="42" fillId="0" borderId="127" applyNumberFormat="0" applyFill="0" applyAlignment="0" applyProtection="0"/>
    <xf numFmtId="0" fontId="29" fillId="20" borderId="136" applyNumberFormat="0" applyAlignment="0" applyProtection="0"/>
    <xf numFmtId="0" fontId="36" fillId="7" borderId="107" applyNumberFormat="0" applyAlignment="0" applyProtection="0"/>
    <xf numFmtId="0" fontId="91" fillId="0" borderId="115"/>
    <xf numFmtId="0" fontId="25" fillId="27" borderId="137" applyNumberFormat="0" applyFont="0" applyAlignment="0" applyProtection="0"/>
    <xf numFmtId="194" fontId="46" fillId="28" borderId="125" applyAlignment="0" applyProtection="0"/>
    <xf numFmtId="194" fontId="46" fillId="28" borderId="125" applyAlignment="0" applyProtection="0"/>
    <xf numFmtId="0" fontId="19" fillId="27" borderId="125" applyNumberFormat="0" applyFont="0" applyAlignment="0" applyProtection="0"/>
    <xf numFmtId="0" fontId="19" fillId="27" borderId="125" applyNumberFormat="0" applyFont="0" applyAlignment="0" applyProtection="0"/>
    <xf numFmtId="0" fontId="19" fillId="27" borderId="125" applyNumberFormat="0" applyFont="0" applyAlignment="0" applyProtection="0"/>
    <xf numFmtId="0" fontId="19" fillId="27" borderId="125" applyNumberFormat="0" applyFont="0" applyAlignment="0" applyProtection="0"/>
    <xf numFmtId="0" fontId="19" fillId="27" borderId="125" applyNumberFormat="0" applyFont="0" applyAlignment="0" applyProtection="0"/>
    <xf numFmtId="0" fontId="19" fillId="27" borderId="125" applyNumberFormat="0" applyFont="0" applyAlignment="0" applyProtection="0"/>
    <xf numFmtId="0" fontId="19" fillId="27" borderId="125" applyNumberFormat="0" applyFont="0" applyAlignment="0" applyProtection="0"/>
    <xf numFmtId="0" fontId="25" fillId="27" borderId="125" applyNumberFormat="0" applyFont="0" applyAlignment="0" applyProtection="0"/>
    <xf numFmtId="0" fontId="19" fillId="27" borderId="125" applyNumberFormat="0" applyFont="0" applyAlignment="0" applyProtection="0"/>
    <xf numFmtId="0" fontId="19" fillId="27" borderId="125" applyNumberFormat="0" applyFont="0" applyAlignment="0" applyProtection="0"/>
    <xf numFmtId="0" fontId="19" fillId="27" borderId="125" applyNumberFormat="0" applyFont="0" applyAlignment="0" applyProtection="0"/>
    <xf numFmtId="0" fontId="40" fillId="20" borderId="126" applyNumberFormat="0" applyAlignment="0" applyProtection="0"/>
    <xf numFmtId="0" fontId="25" fillId="27" borderId="137" applyNumberFormat="0" applyFont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21" applyNumberFormat="0" applyFill="0" applyAlignment="0" applyProtection="0"/>
    <xf numFmtId="0" fontId="42" fillId="0" borderId="133" applyNumberFormat="0" applyFill="0" applyAlignment="0" applyProtection="0"/>
    <xf numFmtId="0" fontId="36" fillId="7" borderId="130" applyNumberFormat="0" applyAlignment="0" applyProtection="0"/>
    <xf numFmtId="0" fontId="42" fillId="0" borderId="127" applyNumberFormat="0" applyFill="0" applyAlignment="0" applyProtection="0"/>
    <xf numFmtId="0" fontId="19" fillId="27" borderId="137" applyNumberFormat="0" applyFont="0" applyAlignment="0" applyProtection="0"/>
    <xf numFmtId="0" fontId="25" fillId="0" borderId="0"/>
    <xf numFmtId="0" fontId="25" fillId="0" borderId="0"/>
    <xf numFmtId="0" fontId="25" fillId="0" borderId="0"/>
    <xf numFmtId="0" fontId="7" fillId="0" borderId="0"/>
    <xf numFmtId="0" fontId="42" fillId="0" borderId="127" applyNumberFormat="0" applyFill="0" applyAlignment="0" applyProtection="0"/>
    <xf numFmtId="43" fontId="14" fillId="0" borderId="0" applyFont="0" applyFill="0" applyBorder="0" applyAlignment="0" applyProtection="0"/>
    <xf numFmtId="0" fontId="7" fillId="0" borderId="0"/>
    <xf numFmtId="41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25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25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25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25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19" fillId="27" borderId="131" applyNumberFormat="0" applyFont="0" applyAlignment="0" applyProtection="0"/>
    <xf numFmtId="194" fontId="46" fillId="28" borderId="131" applyAlignment="0" applyProtection="0"/>
    <xf numFmtId="0" fontId="25" fillId="27" borderId="131" applyNumberFormat="0" applyFont="0" applyAlignment="0" applyProtection="0"/>
    <xf numFmtId="194" fontId="46" fillId="28" borderId="131" applyAlignment="0" applyProtection="0"/>
    <xf numFmtId="0" fontId="25" fillId="27" borderId="131" applyNumberFormat="0" applyFont="0" applyAlignment="0" applyProtection="0"/>
    <xf numFmtId="194" fontId="46" fillId="28" borderId="131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0" fillId="20" borderId="132" applyNumberFormat="0" applyAlignment="0" applyProtection="0"/>
    <xf numFmtId="0" fontId="42" fillId="0" borderId="139" applyNumberFormat="0" applyFill="0" applyAlignment="0" applyProtection="0"/>
    <xf numFmtId="0" fontId="40" fillId="20" borderId="138" applyNumberFormat="0" applyAlignment="0" applyProtection="0"/>
    <xf numFmtId="0" fontId="25" fillId="27" borderId="137" applyNumberFormat="0" applyFont="0" applyAlignment="0" applyProtection="0"/>
    <xf numFmtId="0" fontId="91" fillId="0" borderId="135"/>
    <xf numFmtId="0" fontId="36" fillId="7" borderId="136" applyNumberFormat="0" applyAlignment="0" applyProtection="0"/>
    <xf numFmtId="0" fontId="29" fillId="20" borderId="136" applyNumberFormat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25" fillId="0" borderId="0"/>
    <xf numFmtId="0" fontId="19" fillId="27" borderId="131" applyNumberFormat="0" applyFont="0" applyAlignment="0" applyProtection="0"/>
    <xf numFmtId="0" fontId="25" fillId="0" borderId="0"/>
    <xf numFmtId="0" fontId="25" fillId="27" borderId="131" applyNumberFormat="0" applyFont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42" fillId="0" borderId="133" applyNumberFormat="0" applyFill="0" applyAlignment="0" applyProtection="0"/>
    <xf numFmtId="0" fontId="25" fillId="0" borderId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25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25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25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25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25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19" fillId="27" borderId="137" applyNumberFormat="0" applyFont="0" applyAlignment="0" applyProtection="0"/>
    <xf numFmtId="194" fontId="46" fillId="28" borderId="137" applyAlignment="0" applyProtection="0"/>
    <xf numFmtId="0" fontId="25" fillId="27" borderId="137" applyNumberFormat="0" applyFont="0" applyAlignment="0" applyProtection="0"/>
    <xf numFmtId="194" fontId="46" fillId="28" borderId="137" applyAlignment="0" applyProtection="0"/>
    <xf numFmtId="0" fontId="25" fillId="27" borderId="137" applyNumberFormat="0" applyFont="0" applyAlignment="0" applyProtection="0"/>
    <xf numFmtId="194" fontId="46" fillId="28" borderId="137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40" fillId="20" borderId="138" applyNumberFormat="0" applyAlignment="0" applyProtection="0"/>
    <xf numFmtId="0" fontId="91" fillId="0" borderId="141"/>
    <xf numFmtId="0" fontId="36" fillId="7" borderId="136" applyNumberFormat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42" fillId="0" borderId="139" applyNumberFormat="0" applyFill="0" applyAlignment="0" applyProtection="0"/>
    <xf numFmtId="0" fontId="25" fillId="0" borderId="0"/>
  </cellStyleXfs>
  <cellXfs count="704">
    <xf numFmtId="0" fontId="0" fillId="0" borderId="0" xfId="0"/>
    <xf numFmtId="0" fontId="48" fillId="0" borderId="0" xfId="1448" applyFont="1" applyAlignment="1">
      <alignment horizontal="center" wrapText="1"/>
    </xf>
    <xf numFmtId="0" fontId="47" fillId="0" borderId="0" xfId="1448" applyFont="1" applyAlignment="1">
      <alignment horizontal="left" vertical="center" wrapText="1"/>
    </xf>
    <xf numFmtId="0" fontId="57" fillId="0" borderId="0" xfId="1448" applyFont="1" applyAlignment="1">
      <alignment horizontal="center" wrapText="1"/>
    </xf>
    <xf numFmtId="3" fontId="48" fillId="0" borderId="0" xfId="1448" applyNumberFormat="1" applyFont="1" applyAlignment="1">
      <alignment horizontal="center" vertical="center" wrapText="1"/>
    </xf>
    <xf numFmtId="0" fontId="57" fillId="0" borderId="0" xfId="1448" applyFont="1" applyAlignment="1">
      <alignment wrapText="1"/>
    </xf>
    <xf numFmtId="0" fontId="58" fillId="0" borderId="0" xfId="1448" applyFont="1" applyAlignment="1">
      <alignment wrapText="1"/>
    </xf>
    <xf numFmtId="0" fontId="47" fillId="0" borderId="0" xfId="1448" applyFont="1" applyAlignment="1">
      <alignment horizontal="center" wrapText="1"/>
    </xf>
    <xf numFmtId="0" fontId="47" fillId="0" borderId="0" xfId="1448" applyFont="1" applyAlignment="1">
      <alignment horizontal="center" vertical="center" wrapText="1"/>
    </xf>
    <xf numFmtId="3" fontId="47" fillId="0" borderId="0" xfId="1448" applyNumberFormat="1" applyFont="1" applyAlignment="1">
      <alignment horizontal="center" vertical="center" wrapText="1"/>
    </xf>
    <xf numFmtId="0" fontId="47" fillId="0" borderId="18" xfId="1448" applyFont="1" applyBorder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7" fillId="0" borderId="0" xfId="1448" applyFont="1" applyAlignment="1">
      <alignment horizontal="center" vertical="center" wrapText="1"/>
    </xf>
    <xf numFmtId="0" fontId="60" fillId="0" borderId="18" xfId="1448" applyFont="1" applyBorder="1" applyAlignment="1">
      <alignment horizontal="center" wrapText="1"/>
    </xf>
    <xf numFmtId="0" fontId="61" fillId="0" borderId="0" xfId="1448" applyFont="1" applyAlignment="1">
      <alignment wrapText="1"/>
    </xf>
    <xf numFmtId="0" fontId="48" fillId="0" borderId="18" xfId="1448" applyFont="1" applyBorder="1" applyAlignment="1">
      <alignment horizontal="center" vertical="center" wrapText="1"/>
    </xf>
    <xf numFmtId="165" fontId="48" fillId="0" borderId="0" xfId="527" applyNumberFormat="1" applyFont="1" applyFill="1" applyBorder="1" applyAlignment="1">
      <alignment horizontal="center" wrapText="1"/>
    </xf>
    <xf numFmtId="0" fontId="48" fillId="0" borderId="18" xfId="1448" quotePrefix="1" applyFont="1" applyBorder="1" applyAlignment="1">
      <alignment horizontal="center" vertical="center" wrapText="1"/>
    </xf>
    <xf numFmtId="18" fontId="48" fillId="0" borderId="18" xfId="1448" quotePrefix="1" applyNumberFormat="1" applyFont="1" applyBorder="1" applyAlignment="1">
      <alignment horizontal="center" vertical="center" wrapText="1"/>
    </xf>
    <xf numFmtId="0" fontId="57" fillId="0" borderId="0" xfId="1448" applyFont="1" applyAlignment="1">
      <alignment vertical="top" wrapText="1"/>
    </xf>
    <xf numFmtId="165" fontId="48" fillId="0" borderId="18" xfId="1448" applyNumberFormat="1" applyFont="1" applyBorder="1" applyAlignment="1">
      <alignment horizontal="center" vertical="center" wrapText="1"/>
    </xf>
    <xf numFmtId="17" fontId="48" fillId="0" borderId="18" xfId="1448" quotePrefix="1" applyNumberFormat="1" applyFont="1" applyBorder="1" applyAlignment="1">
      <alignment horizontal="center" vertical="center" wrapText="1"/>
    </xf>
    <xf numFmtId="165" fontId="48" fillId="0" borderId="0" xfId="1448" applyNumberFormat="1" applyFont="1" applyAlignment="1">
      <alignment horizontal="center" wrapText="1"/>
    </xf>
    <xf numFmtId="0" fontId="115" fillId="0" borderId="0" xfId="1614" applyAlignment="1">
      <alignment horizontal="center"/>
    </xf>
    <xf numFmtId="0" fontId="52" fillId="0" borderId="0" xfId="1614" applyFont="1" applyAlignment="1">
      <alignment horizontal="center" vertical="center"/>
    </xf>
    <xf numFmtId="0" fontId="47" fillId="0" borderId="0" xfId="1614" applyFont="1" applyAlignment="1">
      <alignment vertical="center"/>
    </xf>
    <xf numFmtId="0" fontId="115" fillId="0" borderId="0" xfId="1614" applyAlignment="1">
      <alignment horizontal="center" vertical="center"/>
    </xf>
    <xf numFmtId="3" fontId="49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0" fontId="64" fillId="0" borderId="0" xfId="1614" applyFont="1" applyAlignment="1">
      <alignment horizontal="center"/>
    </xf>
    <xf numFmtId="167" fontId="56" fillId="0" borderId="0" xfId="1652" applyNumberFormat="1" applyFont="1"/>
    <xf numFmtId="0" fontId="115" fillId="0" borderId="19" xfId="1614" applyBorder="1" applyAlignment="1">
      <alignment horizontal="center"/>
    </xf>
    <xf numFmtId="0" fontId="56" fillId="0" borderId="0" xfId="1614" applyFont="1" applyAlignment="1">
      <alignment horizontal="center"/>
    </xf>
    <xf numFmtId="0" fontId="56" fillId="0" borderId="0" xfId="1614" applyFont="1" applyAlignment="1">
      <alignment horizontal="center" vertical="center" wrapText="1"/>
    </xf>
    <xf numFmtId="3" fontId="48" fillId="0" borderId="0" xfId="1614" applyNumberFormat="1" applyFont="1" applyAlignment="1">
      <alignment vertical="center"/>
    </xf>
    <xf numFmtId="0" fontId="24" fillId="0" borderId="0" xfId="1614" applyFont="1" applyAlignment="1">
      <alignment horizontal="center"/>
    </xf>
    <xf numFmtId="0" fontId="48" fillId="0" borderId="20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left" vertical="center" wrapText="1"/>
    </xf>
    <xf numFmtId="0" fontId="48" fillId="0" borderId="21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/>
    </xf>
    <xf numFmtId="3" fontId="50" fillId="0" borderId="21" xfId="1614" applyNumberFormat="1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8" fillId="0" borderId="22" xfId="1614" applyNumberFormat="1" applyFont="1" applyBorder="1" applyAlignment="1">
      <alignment horizontal="center" vertical="center"/>
    </xf>
    <xf numFmtId="0" fontId="65" fillId="0" borderId="0" xfId="1614" applyFont="1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3" fontId="65" fillId="0" borderId="0" xfId="1614" applyNumberFormat="1" applyFont="1" applyAlignment="1">
      <alignment horizontal="center" vertical="center"/>
    </xf>
    <xf numFmtId="0" fontId="65" fillId="0" borderId="0" xfId="1614" applyFont="1" applyAlignment="1">
      <alignment horizontal="center"/>
    </xf>
    <xf numFmtId="0" fontId="53" fillId="0" borderId="23" xfId="1614" applyFont="1" applyBorder="1" applyAlignment="1">
      <alignment horizontal="center" vertical="center"/>
    </xf>
    <xf numFmtId="0" fontId="53" fillId="0" borderId="24" xfId="1614" applyFont="1" applyBorder="1" applyAlignment="1">
      <alignment horizontal="left" vertical="center"/>
    </xf>
    <xf numFmtId="0" fontId="53" fillId="0" borderId="24" xfId="1614" applyFont="1" applyBorder="1" applyAlignment="1">
      <alignment vertical="center"/>
    </xf>
    <xf numFmtId="0" fontId="24" fillId="0" borderId="24" xfId="1614" applyFont="1" applyBorder="1" applyAlignment="1">
      <alignment horizontal="center" vertical="center"/>
    </xf>
    <xf numFmtId="3" fontId="48" fillId="0" borderId="24" xfId="1614" applyNumberFormat="1" applyFont="1" applyBorder="1" applyAlignment="1">
      <alignment horizontal="center" vertical="center"/>
    </xf>
    <xf numFmtId="3" fontId="48" fillId="0" borderId="25" xfId="1614" applyNumberFormat="1" applyFont="1" applyBorder="1" applyAlignment="1">
      <alignment horizontal="center" vertical="center"/>
    </xf>
    <xf numFmtId="0" fontId="115" fillId="0" borderId="26" xfId="1614" applyBorder="1" applyAlignment="1">
      <alignment horizontal="center" vertical="center"/>
    </xf>
    <xf numFmtId="37" fontId="115" fillId="0" borderId="27" xfId="1614" applyNumberFormat="1" applyBorder="1" applyAlignment="1">
      <alignment horizontal="center"/>
    </xf>
    <xf numFmtId="0" fontId="115" fillId="0" borderId="28" xfId="1614" applyBorder="1" applyAlignment="1">
      <alignment horizontal="center" vertical="center"/>
    </xf>
    <xf numFmtId="37" fontId="24" fillId="0" borderId="0" xfId="1614" applyNumberFormat="1" applyFont="1" applyAlignment="1">
      <alignment horizontal="center"/>
    </xf>
    <xf numFmtId="37" fontId="66" fillId="0" borderId="0" xfId="1614" applyNumberFormat="1" applyFont="1" applyAlignment="1">
      <alignment horizontal="center"/>
    </xf>
    <xf numFmtId="37" fontId="56" fillId="0" borderId="29" xfId="1614" applyNumberFormat="1" applyFont="1" applyBorder="1" applyAlignment="1">
      <alignment horizontal="center"/>
    </xf>
    <xf numFmtId="37" fontId="115" fillId="0" borderId="29" xfId="1614" applyNumberFormat="1" applyBorder="1" applyAlignment="1">
      <alignment horizontal="center"/>
    </xf>
    <xf numFmtId="37" fontId="66" fillId="0" borderId="30" xfId="1614" applyNumberFormat="1" applyFont="1" applyBorder="1" applyAlignment="1">
      <alignment horizontal="center"/>
    </xf>
    <xf numFmtId="0" fontId="55" fillId="0" borderId="0" xfId="1614" applyFont="1" applyAlignment="1">
      <alignment horizontal="center" vertical="center"/>
    </xf>
    <xf numFmtId="0" fontId="115" fillId="0" borderId="19" xfId="1614" applyBorder="1"/>
    <xf numFmtId="0" fontId="115" fillId="0" borderId="19" xfId="1614" applyBorder="1" applyAlignment="1">
      <alignment horizontal="right"/>
    </xf>
    <xf numFmtId="0" fontId="115" fillId="0" borderId="31" xfId="1614" applyBorder="1" applyAlignment="1">
      <alignment horizontal="right"/>
    </xf>
    <xf numFmtId="0" fontId="53" fillId="0" borderId="0" xfId="1614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0" fontId="53" fillId="0" borderId="0" xfId="1614" applyFont="1" applyAlignment="1">
      <alignment vertical="center"/>
    </xf>
    <xf numFmtId="0" fontId="24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115" fillId="0" borderId="0" xfId="1652" applyAlignment="1">
      <alignment horizontal="right"/>
    </xf>
    <xf numFmtId="0" fontId="52" fillId="0" borderId="0" xfId="1614" applyFont="1" applyAlignment="1">
      <alignment vertical="center"/>
    </xf>
    <xf numFmtId="0" fontId="52" fillId="0" borderId="0" xfId="1614" applyFont="1" applyAlignment="1">
      <alignment horizontal="center"/>
    </xf>
    <xf numFmtId="0" fontId="95" fillId="0" borderId="0" xfId="1614" applyFont="1" applyAlignment="1">
      <alignment horizontal="center" vertical="center" wrapText="1"/>
    </xf>
    <xf numFmtId="0" fontId="56" fillId="0" borderId="20" xfId="1652" applyFont="1" applyBorder="1" applyAlignment="1">
      <alignment horizontal="center" vertical="center"/>
    </xf>
    <xf numFmtId="0" fontId="56" fillId="0" borderId="21" xfId="1652" applyFont="1" applyBorder="1" applyAlignment="1">
      <alignment vertical="center" wrapText="1"/>
    </xf>
    <xf numFmtId="37" fontId="56" fillId="0" borderId="27" xfId="1614" applyNumberFormat="1" applyFont="1" applyBorder="1" applyAlignment="1">
      <alignment horizontal="center"/>
    </xf>
    <xf numFmtId="37" fontId="66" fillId="0" borderId="32" xfId="1614" applyNumberFormat="1" applyFont="1" applyBorder="1" applyAlignment="1">
      <alignment horizontal="center"/>
    </xf>
    <xf numFmtId="0" fontId="24" fillId="0" borderId="21" xfId="1652" applyFont="1" applyBorder="1" applyAlignment="1">
      <alignment horizontal="center" vertical="center"/>
    </xf>
    <xf numFmtId="0" fontId="47" fillId="0" borderId="0" xfId="1448" applyFont="1" applyAlignment="1">
      <alignment horizontal="left" vertical="center"/>
    </xf>
    <xf numFmtId="0" fontId="57" fillId="0" borderId="0" xfId="1448" applyFont="1" applyAlignment="1">
      <alignment horizontal="left" wrapText="1"/>
    </xf>
    <xf numFmtId="3" fontId="64" fillId="0" borderId="0" xfId="1614" applyNumberFormat="1" applyFont="1" applyAlignment="1">
      <alignment horizontal="center"/>
    </xf>
    <xf numFmtId="0" fontId="56" fillId="0" borderId="0" xfId="1614" applyFont="1"/>
    <xf numFmtId="0" fontId="48" fillId="0" borderId="21" xfId="1448" applyFont="1" applyBorder="1" applyAlignment="1">
      <alignment horizontal="center" vertical="center"/>
    </xf>
    <xf numFmtId="0" fontId="48" fillId="0" borderId="21" xfId="1448" applyFont="1" applyBorder="1" applyAlignment="1">
      <alignment horizontal="left" wrapText="1"/>
    </xf>
    <xf numFmtId="0" fontId="57" fillId="0" borderId="21" xfId="1448" applyFont="1" applyBorder="1" applyAlignment="1">
      <alignment horizontal="center" wrapText="1"/>
    </xf>
    <xf numFmtId="0" fontId="48" fillId="0" borderId="21" xfId="1448" applyFont="1" applyBorder="1" applyAlignment="1">
      <alignment horizontal="center" vertical="center" wrapText="1"/>
    </xf>
    <xf numFmtId="3" fontId="48" fillId="0" borderId="21" xfId="1448" applyNumberFormat="1" applyFont="1" applyBorder="1" applyAlignment="1">
      <alignment horizontal="center" vertical="center" wrapText="1"/>
    </xf>
    <xf numFmtId="0" fontId="58" fillId="0" borderId="0" xfId="1448" applyFont="1" applyAlignment="1">
      <alignment horizontal="center" wrapText="1"/>
    </xf>
    <xf numFmtId="0" fontId="66" fillId="0" borderId="34" xfId="1614" applyFont="1" applyBorder="1" applyAlignment="1">
      <alignment vertical="center"/>
    </xf>
    <xf numFmtId="169" fontId="48" fillId="0" borderId="0" xfId="714" applyFont="1" applyFill="1" applyAlignment="1">
      <alignment horizontal="center" wrapText="1"/>
    </xf>
    <xf numFmtId="169" fontId="47" fillId="0" borderId="0" xfId="714" applyFont="1" applyFill="1" applyAlignment="1">
      <alignment horizontal="center" wrapText="1"/>
    </xf>
    <xf numFmtId="4" fontId="97" fillId="0" borderId="3" xfId="1448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center" wrapText="1"/>
    </xf>
    <xf numFmtId="169" fontId="48" fillId="0" borderId="21" xfId="715" applyNumberFormat="1" applyFont="1" applyFill="1" applyBorder="1" applyAlignment="1">
      <alignment horizontal="center" vertical="center" wrapText="1"/>
    </xf>
    <xf numFmtId="169" fontId="48" fillId="0" borderId="21" xfId="714" applyFont="1" applyFill="1" applyBorder="1" applyAlignment="1">
      <alignment horizontal="center" vertical="center" wrapText="1"/>
    </xf>
    <xf numFmtId="169" fontId="48" fillId="0" borderId="33" xfId="714" applyFont="1" applyFill="1" applyBorder="1" applyAlignment="1">
      <alignment horizontal="center" vertical="center" wrapText="1"/>
    </xf>
    <xf numFmtId="167" fontId="47" fillId="0" borderId="0" xfId="1614" applyNumberFormat="1" applyFont="1" applyAlignment="1">
      <alignment horizontal="left" vertical="center"/>
    </xf>
    <xf numFmtId="37" fontId="115" fillId="0" borderId="0" xfId="1614" applyNumberFormat="1" applyAlignment="1">
      <alignment horizontal="center"/>
    </xf>
    <xf numFmtId="0" fontId="22" fillId="0" borderId="20" xfId="1652" applyFont="1" applyBorder="1" applyAlignment="1">
      <alignment horizontal="center" vertical="center"/>
    </xf>
    <xf numFmtId="0" fontId="22" fillId="0" borderId="21" xfId="1652" applyFont="1" applyBorder="1" applyAlignment="1">
      <alignment horizontal="center" vertical="center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0" fontId="98" fillId="0" borderId="21" xfId="1614" applyFont="1" applyBorder="1" applyAlignment="1">
      <alignment horizontal="center" vertical="center" wrapText="1"/>
    </xf>
    <xf numFmtId="0" fontId="100" fillId="0" borderId="0" xfId="1652" applyFont="1" applyAlignment="1">
      <alignment horizontal="center" vertical="center"/>
    </xf>
    <xf numFmtId="0" fontId="56" fillId="0" borderId="0" xfId="1614" applyFont="1" applyAlignment="1">
      <alignment horizontal="left" vertical="center"/>
    </xf>
    <xf numFmtId="3" fontId="47" fillId="0" borderId="0" xfId="1614" applyNumberFormat="1" applyFont="1" applyAlignment="1">
      <alignment horizontal="left" vertical="center"/>
    </xf>
    <xf numFmtId="3" fontId="47" fillId="0" borderId="3" xfId="1448" applyNumberFormat="1" applyFont="1" applyBorder="1" applyAlignment="1">
      <alignment horizontal="center" vertical="center" wrapText="1"/>
    </xf>
    <xf numFmtId="0" fontId="48" fillId="0" borderId="21" xfId="1451" applyFont="1" applyBorder="1" applyAlignment="1">
      <alignment horizontal="left" vertical="center" wrapText="1"/>
    </xf>
    <xf numFmtId="0" fontId="60" fillId="0" borderId="18" xfId="1448" quotePrefix="1" applyFont="1" applyBorder="1" applyAlignment="1">
      <alignment horizontal="center" vertical="center" wrapText="1"/>
    </xf>
    <xf numFmtId="0" fontId="52" fillId="0" borderId="0" xfId="1505" applyFont="1"/>
    <xf numFmtId="0" fontId="64" fillId="0" borderId="0" xfId="1615" applyFont="1" applyAlignment="1">
      <alignment horizontal="center"/>
    </xf>
    <xf numFmtId="0" fontId="52" fillId="0" borderId="0" xfId="1615" applyFont="1" applyAlignment="1">
      <alignment horizontal="center" vertical="center"/>
    </xf>
    <xf numFmtId="0" fontId="47" fillId="0" borderId="0" xfId="1615" applyFont="1" applyAlignment="1">
      <alignment horizontal="left" vertical="center"/>
    </xf>
    <xf numFmtId="0" fontId="47" fillId="0" borderId="0" xfId="1615" applyFont="1" applyAlignment="1">
      <alignment vertical="center"/>
    </xf>
    <xf numFmtId="0" fontId="115" fillId="0" borderId="0" xfId="1615" applyAlignment="1">
      <alignment horizontal="center" vertical="center"/>
    </xf>
    <xf numFmtId="3" fontId="49" fillId="0" borderId="0" xfId="1615" applyNumberFormat="1" applyFont="1" applyAlignment="1">
      <alignment horizontal="center" vertical="center"/>
    </xf>
    <xf numFmtId="0" fontId="115" fillId="0" borderId="0" xfId="1615" applyAlignment="1">
      <alignment horizontal="center"/>
    </xf>
    <xf numFmtId="167" fontId="47" fillId="0" borderId="0" xfId="1615" applyNumberFormat="1" applyFont="1" applyAlignment="1">
      <alignment horizontal="left" vertical="center"/>
    </xf>
    <xf numFmtId="167" fontId="56" fillId="0" borderId="0" xfId="1653" applyNumberFormat="1" applyFont="1" applyAlignment="1">
      <alignment horizontal="left" vertical="center"/>
    </xf>
    <xf numFmtId="0" fontId="100" fillId="0" borderId="0" xfId="1653" applyFont="1" applyAlignment="1">
      <alignment horizontal="center" vertical="center"/>
    </xf>
    <xf numFmtId="0" fontId="48" fillId="0" borderId="35" xfId="1615" applyFont="1" applyBorder="1" applyAlignment="1">
      <alignment horizontal="center" vertical="center"/>
    </xf>
    <xf numFmtId="0" fontId="48" fillId="0" borderId="35" xfId="1615" applyFont="1" applyBorder="1" applyAlignment="1">
      <alignment horizontal="left" vertical="center" wrapText="1"/>
    </xf>
    <xf numFmtId="0" fontId="48" fillId="0" borderId="35" xfId="1615" applyFont="1" applyBorder="1" applyAlignment="1">
      <alignment horizontal="center" vertical="center" wrapText="1"/>
    </xf>
    <xf numFmtId="0" fontId="50" fillId="0" borderId="35" xfId="1615" applyFont="1" applyBorder="1" applyAlignment="1">
      <alignment horizontal="center" vertical="center"/>
    </xf>
    <xf numFmtId="0" fontId="17" fillId="0" borderId="35" xfId="1653" applyFont="1" applyBorder="1" applyAlignment="1">
      <alignment horizontal="center" vertical="center"/>
    </xf>
    <xf numFmtId="3" fontId="50" fillId="0" borderId="35" xfId="1615" applyNumberFormat="1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0" fontId="17" fillId="0" borderId="0" xfId="1615" applyFont="1" applyAlignment="1">
      <alignment horizontal="center"/>
    </xf>
    <xf numFmtId="0" fontId="56" fillId="0" borderId="21" xfId="1653" applyFont="1" applyBorder="1" applyAlignment="1">
      <alignment horizontal="center" vertical="center"/>
    </xf>
    <xf numFmtId="0" fontId="56" fillId="0" borderId="21" xfId="1653" applyFont="1" applyBorder="1" applyAlignment="1">
      <alignment vertical="center" wrapText="1"/>
    </xf>
    <xf numFmtId="0" fontId="48" fillId="0" borderId="21" xfId="1615" applyFont="1" applyBorder="1" applyAlignment="1">
      <alignment horizontal="center" vertical="center" wrapText="1"/>
    </xf>
    <xf numFmtId="0" fontId="50" fillId="0" borderId="21" xfId="1615" applyFont="1" applyBorder="1" applyAlignment="1">
      <alignment horizontal="center" vertical="center"/>
    </xf>
    <xf numFmtId="0" fontId="17" fillId="0" borderId="21" xfId="1653" applyFont="1" applyBorder="1" applyAlignment="1">
      <alignment horizontal="center" vertical="center"/>
    </xf>
    <xf numFmtId="3" fontId="50" fillId="0" borderId="21" xfId="1615" applyNumberFormat="1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0" fontId="65" fillId="0" borderId="0" xfId="1615" applyFont="1" applyAlignment="1">
      <alignment horizontal="center"/>
    </xf>
    <xf numFmtId="3" fontId="17" fillId="0" borderId="21" xfId="1653" applyNumberFormat="1" applyFont="1" applyBorder="1" applyAlignment="1">
      <alignment horizontal="center" vertical="center"/>
    </xf>
    <xf numFmtId="0" fontId="52" fillId="0" borderId="0" xfId="1615" applyFont="1" applyAlignment="1">
      <alignment vertical="center"/>
    </xf>
    <xf numFmtId="0" fontId="52" fillId="0" borderId="33" xfId="1615" applyFont="1" applyBorder="1" applyAlignment="1">
      <alignment horizontal="center" vertical="center"/>
    </xf>
    <xf numFmtId="0" fontId="52" fillId="0" borderId="33" xfId="1615" applyFont="1" applyBorder="1" applyAlignment="1">
      <alignment vertical="center"/>
    </xf>
    <xf numFmtId="0" fontId="115" fillId="0" borderId="33" xfId="1615" applyBorder="1" applyAlignment="1">
      <alignment horizontal="center" vertical="center"/>
    </xf>
    <xf numFmtId="3" fontId="49" fillId="0" borderId="33" xfId="1615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99" fillId="0" borderId="0" xfId="1448" applyFont="1" applyAlignment="1">
      <alignment horizontal="center" wrapText="1"/>
    </xf>
    <xf numFmtId="0" fontId="54" fillId="0" borderId="0" xfId="1614" applyFont="1" applyAlignment="1">
      <alignment vertical="center"/>
    </xf>
    <xf numFmtId="0" fontId="64" fillId="0" borderId="0" xfId="1614" applyFont="1" applyAlignment="1">
      <alignment horizontal="center" vertical="center"/>
    </xf>
    <xf numFmtId="0" fontId="64" fillId="0" borderId="0" xfId="1614" applyFont="1" applyAlignment="1">
      <alignment vertical="center"/>
    </xf>
    <xf numFmtId="3" fontId="104" fillId="0" borderId="0" xfId="1614" applyNumberFormat="1" applyFont="1" applyAlignment="1">
      <alignment horizontal="center" vertical="center"/>
    </xf>
    <xf numFmtId="0" fontId="104" fillId="0" borderId="0" xfId="1614" applyFont="1" applyAlignment="1">
      <alignment horizontal="center" vertical="center"/>
    </xf>
    <xf numFmtId="0" fontId="23" fillId="0" borderId="0" xfId="1614" applyFont="1" applyAlignment="1">
      <alignment horizontal="center"/>
    </xf>
    <xf numFmtId="0" fontId="95" fillId="0" borderId="0" xfId="1614" applyFont="1" applyAlignment="1">
      <alignment horizontal="center" vertical="center"/>
    </xf>
    <xf numFmtId="0" fontId="95" fillId="0" borderId="0" xfId="1614" applyFont="1" applyAlignment="1">
      <alignment vertical="center"/>
    </xf>
    <xf numFmtId="207" fontId="48" fillId="0" borderId="21" xfId="2549" applyNumberFormat="1" applyFont="1" applyFill="1" applyBorder="1" applyAlignment="1">
      <alignment horizontal="center" vertical="center" wrapText="1"/>
    </xf>
    <xf numFmtId="0" fontId="98" fillId="0" borderId="0" xfId="1448" applyFont="1" applyAlignment="1">
      <alignment horizontal="center" wrapText="1"/>
    </xf>
    <xf numFmtId="0" fontId="99" fillId="0" borderId="0" xfId="1448" applyFont="1" applyAlignment="1">
      <alignment wrapText="1"/>
    </xf>
    <xf numFmtId="0" fontId="106" fillId="0" borderId="0" xfId="1448" applyFont="1" applyAlignment="1">
      <alignment horizontal="center" wrapText="1"/>
    </xf>
    <xf numFmtId="0" fontId="105" fillId="0" borderId="0" xfId="1448" applyFont="1" applyAlignment="1">
      <alignment horizontal="center" wrapText="1"/>
    </xf>
    <xf numFmtId="0" fontId="105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9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/>
    </xf>
    <xf numFmtId="0" fontId="98" fillId="0" borderId="0" xfId="1448" applyFont="1" applyAlignment="1">
      <alignment horizontal="center" vertical="center"/>
    </xf>
    <xf numFmtId="0" fontId="98" fillId="0" borderId="0" xfId="1448" applyFont="1" applyAlignment="1">
      <alignment vertical="center" wrapText="1"/>
    </xf>
    <xf numFmtId="0" fontId="98" fillId="0" borderId="0" xfId="527" applyNumberFormat="1" applyFont="1" applyFill="1" applyBorder="1" applyAlignment="1">
      <alignment horizontal="center" wrapText="1"/>
    </xf>
    <xf numFmtId="165" fontId="99" fillId="0" borderId="0" xfId="1448" applyNumberFormat="1" applyFont="1" applyAlignment="1">
      <alignment wrapText="1"/>
    </xf>
    <xf numFmtId="165" fontId="99" fillId="0" borderId="0" xfId="527" applyNumberFormat="1" applyFont="1" applyFill="1" applyAlignment="1">
      <alignment wrapText="1"/>
    </xf>
    <xf numFmtId="0" fontId="99" fillId="0" borderId="0" xfId="1448" applyFont="1" applyAlignment="1">
      <alignment vertical="top" wrapText="1"/>
    </xf>
    <xf numFmtId="0" fontId="98" fillId="0" borderId="0" xfId="527" applyNumberFormat="1" applyFont="1" applyFill="1" applyAlignment="1">
      <alignment horizontal="center" wrapText="1"/>
    </xf>
    <xf numFmtId="0" fontId="99" fillId="0" borderId="0" xfId="527" applyNumberFormat="1" applyFont="1" applyFill="1" applyAlignment="1">
      <alignment horizontal="center" wrapText="1"/>
    </xf>
    <xf numFmtId="169" fontId="48" fillId="0" borderId="21" xfId="717" applyNumberFormat="1" applyFont="1" applyFill="1" applyBorder="1" applyAlignment="1" applyProtection="1">
      <alignment horizontal="center" vertical="center" wrapText="1"/>
    </xf>
    <xf numFmtId="165" fontId="48" fillId="0" borderId="21" xfId="1451" applyNumberFormat="1" applyFont="1" applyBorder="1" applyAlignment="1">
      <alignment horizontal="center" vertical="center" wrapText="1"/>
    </xf>
    <xf numFmtId="169" fontId="60" fillId="0" borderId="21" xfId="717" applyNumberFormat="1" applyFont="1" applyFill="1" applyBorder="1" applyAlignment="1" applyProtection="1">
      <alignment horizontal="center" vertical="center" wrapText="1"/>
    </xf>
    <xf numFmtId="0" fontId="48" fillId="0" borderId="21" xfId="1451" applyFont="1" applyBorder="1" applyAlignment="1">
      <alignment horizontal="center" vertical="center" wrapText="1"/>
    </xf>
    <xf numFmtId="169" fontId="48" fillId="0" borderId="21" xfId="728" applyFont="1" applyFill="1" applyBorder="1" applyAlignment="1" applyProtection="1">
      <alignment horizontal="center" vertical="center" wrapText="1"/>
    </xf>
    <xf numFmtId="3" fontId="48" fillId="0" borderId="21" xfId="1450" applyNumberFormat="1" applyFont="1" applyBorder="1" applyAlignment="1">
      <alignment horizontal="center" vertical="center" wrapText="1"/>
    </xf>
    <xf numFmtId="169" fontId="48" fillId="0" borderId="21" xfId="728" applyFont="1" applyFill="1" applyBorder="1" applyAlignment="1">
      <alignment horizontal="center" vertical="center" wrapText="1"/>
    </xf>
    <xf numFmtId="0" fontId="125" fillId="0" borderId="26" xfId="1451" applyFont="1" applyBorder="1"/>
    <xf numFmtId="0" fontId="125" fillId="0" borderId="36" xfId="1451" applyFont="1" applyBorder="1"/>
    <xf numFmtId="0" fontId="125" fillId="0" borderId="48" xfId="1451" applyFont="1" applyBorder="1"/>
    <xf numFmtId="0" fontId="125" fillId="0" borderId="28" xfId="1451" applyFont="1" applyBorder="1"/>
    <xf numFmtId="0" fontId="125" fillId="0" borderId="37" xfId="1451" applyFont="1" applyBorder="1"/>
    <xf numFmtId="0" fontId="120" fillId="0" borderId="37" xfId="1451" applyFont="1" applyBorder="1" applyAlignment="1">
      <alignment vertical="center"/>
    </xf>
    <xf numFmtId="0" fontId="125" fillId="0" borderId="34" xfId="1451" applyFont="1" applyBorder="1"/>
    <xf numFmtId="0" fontId="125" fillId="0" borderId="19" xfId="1451" applyFont="1" applyBorder="1"/>
    <xf numFmtId="0" fontId="120" fillId="0" borderId="19" xfId="1451" applyFont="1" applyBorder="1" applyAlignment="1">
      <alignment vertical="center"/>
    </xf>
    <xf numFmtId="0" fontId="120" fillId="0" borderId="19" xfId="1451" applyFont="1" applyBorder="1" applyAlignment="1">
      <alignment horizontal="center" vertical="center"/>
    </xf>
    <xf numFmtId="0" fontId="120" fillId="0" borderId="31" xfId="1451" applyFont="1" applyBorder="1" applyAlignment="1">
      <alignment vertical="center"/>
    </xf>
    <xf numFmtId="0" fontId="47" fillId="0" borderId="3" xfId="1448" applyFont="1" applyBorder="1" applyAlignment="1">
      <alignment horizontal="center" vertical="center"/>
    </xf>
    <xf numFmtId="0" fontId="47" fillId="0" borderId="3" xfId="1448" applyFont="1" applyBorder="1" applyAlignment="1">
      <alignment horizontal="left" vertical="center" wrapText="1"/>
    </xf>
    <xf numFmtId="0" fontId="47" fillId="0" borderId="3" xfId="1448" applyFont="1" applyBorder="1" applyAlignment="1">
      <alignment horizontal="center" vertical="center" wrapText="1"/>
    </xf>
    <xf numFmtId="169" fontId="47" fillId="0" borderId="3" xfId="715" applyNumberFormat="1" applyFont="1" applyFill="1" applyBorder="1" applyAlignment="1">
      <alignment horizontal="center" vertical="center" wrapText="1"/>
    </xf>
    <xf numFmtId="3" fontId="134" fillId="32" borderId="3" xfId="1448" applyNumberFormat="1" applyFont="1" applyFill="1" applyBorder="1" applyAlignment="1">
      <alignment horizontal="center" vertical="center" wrapText="1"/>
    </xf>
    <xf numFmtId="0" fontId="48" fillId="0" borderId="21" xfId="1451" applyFont="1" applyBorder="1" applyAlignment="1">
      <alignment horizontal="center" vertical="center"/>
    </xf>
    <xf numFmtId="0" fontId="140" fillId="0" borderId="21" xfId="1451" applyFont="1" applyBorder="1" applyAlignment="1">
      <alignment horizontal="left" vertical="center" wrapText="1"/>
    </xf>
    <xf numFmtId="0" fontId="48" fillId="33" borderId="21" xfId="1451" applyFont="1" applyFill="1" applyBorder="1" applyAlignment="1">
      <alignment horizontal="left" vertical="center" wrapText="1"/>
    </xf>
    <xf numFmtId="0" fontId="48" fillId="0" borderId="21" xfId="1451" applyFont="1" applyBorder="1" applyAlignment="1">
      <alignment horizontal="left" wrapText="1"/>
    </xf>
    <xf numFmtId="0" fontId="48" fillId="0" borderId="21" xfId="1450" applyFont="1" applyBorder="1" applyAlignment="1">
      <alignment horizontal="center" vertical="center"/>
    </xf>
    <xf numFmtId="0" fontId="48" fillId="0" borderId="21" xfId="1450" applyFont="1" applyBorder="1" applyAlignment="1">
      <alignment horizontal="left" wrapText="1"/>
    </xf>
    <xf numFmtId="0" fontId="118" fillId="0" borderId="21" xfId="1615" applyFont="1" applyBorder="1" applyAlignment="1">
      <alignment vertical="top" wrapText="1"/>
    </xf>
    <xf numFmtId="167" fontId="133" fillId="0" borderId="0" xfId="523" applyFont="1" applyFill="1" applyAlignment="1">
      <alignment horizontal="left" wrapText="1"/>
    </xf>
    <xf numFmtId="0" fontId="12" fillId="0" borderId="0" xfId="2673" applyAlignment="1">
      <alignment vertical="center" wrapText="1"/>
    </xf>
    <xf numFmtId="0" fontId="12" fillId="0" borderId="0" xfId="2673" applyAlignment="1">
      <alignment horizontal="center" vertical="center" wrapText="1"/>
    </xf>
    <xf numFmtId="0" fontId="12" fillId="0" borderId="28" xfId="2673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0" fontId="101" fillId="0" borderId="0" xfId="2673" applyFont="1" applyAlignment="1">
      <alignment vertical="center" wrapText="1"/>
    </xf>
    <xf numFmtId="2" fontId="109" fillId="0" borderId="0" xfId="2673" applyNumberFormat="1" applyFont="1" applyAlignment="1">
      <alignment horizontal="center" vertical="center" wrapText="1"/>
    </xf>
    <xf numFmtId="0" fontId="111" fillId="0" borderId="0" xfId="2673" applyFont="1" applyAlignment="1">
      <alignment horizontal="center" vertical="center" wrapText="1"/>
    </xf>
    <xf numFmtId="0" fontId="138" fillId="0" borderId="28" xfId="2673" applyFont="1" applyBorder="1" applyAlignment="1">
      <alignment vertical="center" wrapText="1"/>
    </xf>
    <xf numFmtId="0" fontId="14" fillId="0" borderId="21" xfId="1615" applyFont="1" applyBorder="1" applyAlignment="1">
      <alignment horizontal="center" vertical="center"/>
    </xf>
    <xf numFmtId="0" fontId="125" fillId="33" borderId="0" xfId="1451" applyFont="1" applyFill="1"/>
    <xf numFmtId="0" fontId="125" fillId="33" borderId="26" xfId="1451" applyFont="1" applyFill="1" applyBorder="1"/>
    <xf numFmtId="0" fontId="125" fillId="33" borderId="36" xfId="1451" applyFont="1" applyFill="1" applyBorder="1"/>
    <xf numFmtId="0" fontId="125" fillId="33" borderId="48" xfId="1451" applyFont="1" applyFill="1" applyBorder="1"/>
    <xf numFmtId="0" fontId="125" fillId="33" borderId="28" xfId="1451" applyFont="1" applyFill="1" applyBorder="1"/>
    <xf numFmtId="0" fontId="125" fillId="33" borderId="37" xfId="1451" applyFont="1" applyFill="1" applyBorder="1"/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vertical="center"/>
    </xf>
    <xf numFmtId="0" fontId="128" fillId="33" borderId="0" xfId="1451" applyFont="1" applyFill="1" applyAlignment="1">
      <alignment horizontal="center" vertical="center"/>
    </xf>
    <xf numFmtId="0" fontId="129" fillId="33" borderId="0" xfId="1451" applyFont="1" applyFill="1"/>
    <xf numFmtId="0" fontId="130" fillId="33" borderId="0" xfId="1451" applyFont="1" applyFill="1"/>
    <xf numFmtId="0" fontId="120" fillId="33" borderId="0" xfId="1451" applyFont="1" applyFill="1" applyAlignment="1">
      <alignment vertical="center"/>
    </xf>
    <xf numFmtId="0" fontId="120" fillId="33" borderId="37" xfId="1451" applyFont="1" applyFill="1" applyBorder="1" applyAlignment="1">
      <alignment vertical="center"/>
    </xf>
    <xf numFmtId="0" fontId="130" fillId="33" borderId="0" xfId="1451" applyFont="1" applyFill="1" applyAlignment="1">
      <alignment horizontal="center"/>
    </xf>
    <xf numFmtId="0" fontId="120" fillId="33" borderId="0" xfId="1451" applyFont="1" applyFill="1" applyAlignment="1">
      <alignment horizontal="center" vertical="center"/>
    </xf>
    <xf numFmtId="0" fontId="120" fillId="33" borderId="37" xfId="1451" applyFont="1" applyFill="1" applyBorder="1" applyAlignment="1">
      <alignment horizontal="center" vertical="center"/>
    </xf>
    <xf numFmtId="0" fontId="131" fillId="33" borderId="0" xfId="1451" applyFont="1" applyFill="1" applyAlignment="1">
      <alignment vertical="center"/>
    </xf>
    <xf numFmtId="0" fontId="131" fillId="33" borderId="37" xfId="1451" applyFont="1" applyFill="1" applyBorder="1" applyAlignment="1">
      <alignment vertical="center"/>
    </xf>
    <xf numFmtId="0" fontId="125" fillId="33" borderId="34" xfId="1451" applyFont="1" applyFill="1" applyBorder="1"/>
    <xf numFmtId="0" fontId="125" fillId="33" borderId="19" xfId="1451" applyFont="1" applyFill="1" applyBorder="1"/>
    <xf numFmtId="0" fontId="120" fillId="33" borderId="19" xfId="1451" applyFont="1" applyFill="1" applyBorder="1" applyAlignment="1">
      <alignment vertical="center"/>
    </xf>
    <xf numFmtId="0" fontId="120" fillId="33" borderId="19" xfId="1451" applyFont="1" applyFill="1" applyBorder="1" applyAlignment="1">
      <alignment horizontal="center" vertical="center"/>
    </xf>
    <xf numFmtId="0" fontId="120" fillId="33" borderId="31" xfId="1451" applyFont="1" applyFill="1" applyBorder="1" applyAlignment="1">
      <alignment vertical="center"/>
    </xf>
    <xf numFmtId="0" fontId="125" fillId="33" borderId="31" xfId="1451" applyFont="1" applyFill="1" applyBorder="1"/>
    <xf numFmtId="0" fontId="119" fillId="33" borderId="0" xfId="0" applyFont="1" applyFill="1" applyAlignment="1">
      <alignment horizontal="center"/>
    </xf>
    <xf numFmtId="0" fontId="119" fillId="33" borderId="26" xfId="0" applyFont="1" applyFill="1" applyBorder="1" applyAlignment="1">
      <alignment horizontal="center"/>
    </xf>
    <xf numFmtId="0" fontId="119" fillId="33" borderId="36" xfId="0" applyFont="1" applyFill="1" applyBorder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20" fillId="33" borderId="18" xfId="0" applyFont="1" applyFill="1" applyBorder="1" applyAlignment="1">
      <alignment horizontal="left"/>
    </xf>
    <xf numFmtId="0" fontId="119" fillId="33" borderId="37" xfId="0" applyFont="1" applyFill="1" applyBorder="1" applyAlignment="1">
      <alignment horizontal="center"/>
    </xf>
    <xf numFmtId="0" fontId="119" fillId="33" borderId="3" xfId="0" applyFont="1" applyFill="1" applyBorder="1" applyAlignment="1">
      <alignment horizontal="center"/>
    </xf>
    <xf numFmtId="0" fontId="141" fillId="33" borderId="0" xfId="0" applyFont="1" applyFill="1" applyAlignment="1">
      <alignment horizontal="center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9" fillId="33" borderId="38" xfId="0" applyFont="1" applyFill="1" applyBorder="1" applyAlignment="1">
      <alignment horizontal="center"/>
    </xf>
    <xf numFmtId="0" fontId="96" fillId="33" borderId="40" xfId="0" applyFont="1" applyFill="1" applyBorder="1" applyAlignment="1">
      <alignment horizontal="center" vertical="center"/>
    </xf>
    <xf numFmtId="0" fontId="96" fillId="33" borderId="47" xfId="0" applyFont="1" applyFill="1" applyBorder="1" applyAlignment="1">
      <alignment horizontal="center" vertical="center"/>
    </xf>
    <xf numFmtId="0" fontId="119" fillId="33" borderId="3" xfId="0" applyFont="1" applyFill="1" applyBorder="1" applyAlignment="1">
      <alignment horizontal="center" vertical="center"/>
    </xf>
    <xf numFmtId="0" fontId="119" fillId="33" borderId="39" xfId="0" applyFont="1" applyFill="1" applyBorder="1" applyAlignment="1">
      <alignment horizontal="center" vertical="center"/>
    </xf>
    <xf numFmtId="0" fontId="122" fillId="33" borderId="0" xfId="0" applyFont="1" applyFill="1" applyAlignment="1">
      <alignment horizontal="center"/>
    </xf>
    <xf numFmtId="0" fontId="119" fillId="33" borderId="3" xfId="0" applyFont="1" applyFill="1" applyBorder="1" applyAlignment="1">
      <alignment vertical="top" wrapText="1"/>
    </xf>
    <xf numFmtId="0" fontId="119" fillId="33" borderId="39" xfId="0" applyFont="1" applyFill="1" applyBorder="1" applyAlignment="1">
      <alignment vertical="top" wrapText="1"/>
    </xf>
    <xf numFmtId="0" fontId="123" fillId="33" borderId="68" xfId="0" applyFont="1" applyFill="1" applyBorder="1" applyAlignment="1">
      <alignment horizontal="center" vertical="center"/>
    </xf>
    <xf numFmtId="0" fontId="123" fillId="33" borderId="69" xfId="0" applyFont="1" applyFill="1" applyBorder="1" applyAlignment="1">
      <alignment horizontal="center" vertical="center"/>
    </xf>
    <xf numFmtId="0" fontId="119" fillId="33" borderId="7" xfId="0" applyFont="1" applyFill="1" applyBorder="1" applyAlignment="1">
      <alignment horizontal="center" vertical="top" wrapText="1"/>
    </xf>
    <xf numFmtId="0" fontId="119" fillId="33" borderId="41" xfId="0" applyFont="1" applyFill="1" applyBorder="1" applyAlignment="1">
      <alignment horizontal="center" vertical="top" wrapText="1"/>
    </xf>
    <xf numFmtId="0" fontId="124" fillId="33" borderId="70" xfId="0" applyFont="1" applyFill="1" applyBorder="1" applyAlignment="1">
      <alignment horizontal="center" vertical="top" wrapText="1"/>
    </xf>
    <xf numFmtId="0" fontId="124" fillId="33" borderId="71" xfId="0" applyFont="1" applyFill="1" applyBorder="1" applyAlignment="1">
      <alignment horizontal="center" vertical="top" wrapText="1"/>
    </xf>
    <xf numFmtId="0" fontId="119" fillId="33" borderId="0" xfId="0" applyFont="1" applyFill="1" applyAlignment="1">
      <alignment vertical="top" wrapText="1"/>
    </xf>
    <xf numFmtId="0" fontId="119" fillId="33" borderId="37" xfId="0" applyFont="1" applyFill="1" applyBorder="1" applyAlignment="1">
      <alignment vertical="top" wrapText="1"/>
    </xf>
    <xf numFmtId="0" fontId="119" fillId="33" borderId="42" xfId="0" applyFont="1" applyFill="1" applyBorder="1" applyAlignment="1">
      <alignment horizontal="center"/>
    </xf>
    <xf numFmtId="0" fontId="119" fillId="33" borderId="43" xfId="0" applyFont="1" applyFill="1" applyBorder="1" applyAlignment="1">
      <alignment vertical="top" wrapText="1"/>
    </xf>
    <xf numFmtId="0" fontId="119" fillId="33" borderId="44" xfId="0" applyFont="1" applyFill="1" applyBorder="1" applyAlignment="1">
      <alignment vertical="top" wrapText="1"/>
    </xf>
    <xf numFmtId="0" fontId="119" fillId="33" borderId="45" xfId="0" applyFont="1" applyFill="1" applyBorder="1" applyAlignment="1">
      <alignment vertical="top" wrapText="1"/>
    </xf>
    <xf numFmtId="0" fontId="124" fillId="33" borderId="28" xfId="0" applyFont="1" applyFill="1" applyBorder="1" applyAlignment="1">
      <alignment horizontal="center"/>
    </xf>
    <xf numFmtId="0" fontId="124" fillId="33" borderId="0" xfId="0" applyFont="1" applyFill="1" applyAlignment="1">
      <alignment horizontal="center"/>
    </xf>
    <xf numFmtId="0" fontId="119" fillId="33" borderId="39" xfId="0" applyFont="1" applyFill="1" applyBorder="1" applyAlignment="1">
      <alignment horizontal="center"/>
    </xf>
    <xf numFmtId="20" fontId="119" fillId="33" borderId="39" xfId="0" applyNumberFormat="1" applyFont="1" applyFill="1" applyBorder="1" applyAlignment="1">
      <alignment horizontal="center"/>
    </xf>
    <xf numFmtId="0" fontId="119" fillId="33" borderId="42" xfId="0" applyFont="1" applyFill="1" applyBorder="1" applyAlignment="1">
      <alignment horizontal="center" vertical="center" wrapText="1"/>
    </xf>
    <xf numFmtId="0" fontId="124" fillId="33" borderId="34" xfId="0" applyFont="1" applyFill="1" applyBorder="1" applyAlignment="1">
      <alignment horizontal="center"/>
    </xf>
    <xf numFmtId="0" fontId="124" fillId="33" borderId="19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9" fillId="33" borderId="46" xfId="0" applyFont="1" applyFill="1" applyBorder="1" applyAlignment="1">
      <alignment horizontal="center"/>
    </xf>
    <xf numFmtId="0" fontId="151" fillId="0" borderId="7" xfId="2673" applyFont="1" applyBorder="1" applyAlignment="1">
      <alignment horizontal="center" vertical="center" wrapText="1"/>
    </xf>
    <xf numFmtId="0" fontId="101" fillId="0" borderId="0" xfId="2673" applyFont="1" applyAlignment="1">
      <alignment horizontal="left" vertical="center" wrapText="1"/>
    </xf>
    <xf numFmtId="0" fontId="57" fillId="0" borderId="21" xfId="1450" applyFont="1" applyBorder="1" applyAlignment="1">
      <alignment horizontal="center" wrapText="1"/>
    </xf>
    <xf numFmtId="0" fontId="48" fillId="0" borderId="21" xfId="1450" applyFont="1" applyBorder="1" applyAlignment="1">
      <alignment horizontal="center" vertical="center" wrapText="1"/>
    </xf>
    <xf numFmtId="3" fontId="48" fillId="0" borderId="21" xfId="1451" applyNumberFormat="1" applyFont="1" applyBorder="1" applyAlignment="1">
      <alignment horizontal="center" vertical="center" wrapText="1"/>
    </xf>
    <xf numFmtId="165" fontId="48" fillId="0" borderId="21" xfId="1450" applyNumberFormat="1" applyFont="1" applyBorder="1" applyAlignment="1">
      <alignment horizontal="center" vertical="center" wrapText="1"/>
    </xf>
    <xf numFmtId="3" fontId="48" fillId="0" borderId="0" xfId="1451" applyNumberFormat="1" applyFont="1" applyAlignment="1">
      <alignment horizontal="center" vertical="center" wrapText="1"/>
    </xf>
    <xf numFmtId="0" fontId="25" fillId="0" borderId="0" xfId="1649"/>
    <xf numFmtId="3" fontId="140" fillId="0" borderId="21" xfId="1451" applyNumberFormat="1" applyFont="1" applyBorder="1" applyAlignment="1">
      <alignment horizontal="center" vertical="center" wrapText="1"/>
    </xf>
    <xf numFmtId="3" fontId="14" fillId="0" borderId="21" xfId="1615" applyNumberFormat="1" applyFont="1" applyBorder="1" applyAlignment="1">
      <alignment horizontal="center" vertical="center"/>
    </xf>
    <xf numFmtId="0" fontId="13" fillId="0" borderId="0" xfId="2670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center" vertical="center"/>
    </xf>
    <xf numFmtId="0" fontId="149" fillId="36" borderId="0" xfId="2670" applyFont="1" applyFill="1" applyAlignment="1">
      <alignment horizontal="left" vertical="center"/>
    </xf>
    <xf numFmtId="0" fontId="149" fillId="36" borderId="0" xfId="2670" applyFont="1" applyFill="1" applyAlignment="1">
      <alignment horizontal="center" vertical="center"/>
    </xf>
    <xf numFmtId="0" fontId="149" fillId="36" borderId="0" xfId="2670" applyFont="1" applyFill="1" applyAlignment="1">
      <alignment horizontal="right" vertical="center"/>
    </xf>
    <xf numFmtId="9" fontId="150" fillId="36" borderId="0" xfId="2671" applyFont="1" applyFill="1" applyBorder="1" applyAlignment="1" applyProtection="1">
      <alignment horizontal="right" vertical="center"/>
    </xf>
    <xf numFmtId="167" fontId="149" fillId="36" borderId="0" xfId="2672" applyFont="1" applyFill="1" applyBorder="1" applyAlignment="1" applyProtection="1">
      <alignment horizontal="right" vertical="center"/>
    </xf>
    <xf numFmtId="167" fontId="150" fillId="36" borderId="0" xfId="2672" applyFont="1" applyFill="1" applyBorder="1" applyAlignment="1" applyProtection="1">
      <alignment horizontal="right" vertical="center"/>
    </xf>
    <xf numFmtId="10" fontId="150" fillId="36" borderId="0" xfId="2671" applyNumberFormat="1" applyFont="1" applyFill="1" applyBorder="1" applyAlignment="1" applyProtection="1">
      <alignment horizontal="right" vertical="center"/>
    </xf>
    <xf numFmtId="169" fontId="149" fillId="36" borderId="0" xfId="2672" applyNumberFormat="1" applyFont="1" applyFill="1" applyBorder="1" applyAlignment="1" applyProtection="1">
      <alignment horizontal="right" vertical="center"/>
    </xf>
    <xf numFmtId="0" fontId="143" fillId="0" borderId="0" xfId="2670" applyFont="1" applyAlignment="1">
      <alignment horizontal="left" vertical="center"/>
    </xf>
    <xf numFmtId="0" fontId="14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6" fillId="0" borderId="0" xfId="1538"/>
    <xf numFmtId="167" fontId="116" fillId="0" borderId="0" xfId="1538" applyNumberFormat="1"/>
    <xf numFmtId="0" fontId="65" fillId="0" borderId="0" xfId="1538" applyFont="1"/>
    <xf numFmtId="0" fontId="132" fillId="0" borderId="0" xfId="1538" applyFont="1"/>
    <xf numFmtId="0" fontId="56" fillId="0" borderId="44" xfId="1538" applyFont="1" applyBorder="1" applyAlignment="1">
      <alignment horizontal="left"/>
    </xf>
    <xf numFmtId="0" fontId="116" fillId="38" borderId="3" xfId="1538" applyFill="1" applyBorder="1" applyAlignment="1">
      <alignment vertical="center"/>
    </xf>
    <xf numFmtId="0" fontId="116" fillId="38" borderId="0" xfId="1538" applyFill="1"/>
    <xf numFmtId="0" fontId="65" fillId="38" borderId="0" xfId="1538" applyFont="1" applyFill="1"/>
    <xf numFmtId="0" fontId="107" fillId="0" borderId="0" xfId="1538" applyFont="1" applyAlignment="1">
      <alignment horizontal="center" vertical="center" wrapText="1"/>
    </xf>
    <xf numFmtId="0" fontId="116" fillId="38" borderId="3" xfId="1538" applyFill="1" applyBorder="1" applyAlignment="1">
      <alignment horizontal="center" vertical="center"/>
    </xf>
    <xf numFmtId="0" fontId="116" fillId="0" borderId="0" xfId="1538" applyAlignment="1">
      <alignment horizontal="center" vertical="center"/>
    </xf>
    <xf numFmtId="1" fontId="116" fillId="0" borderId="0" xfId="1538" applyNumberFormat="1"/>
    <xf numFmtId="0" fontId="116" fillId="0" borderId="3" xfId="1538" applyBorder="1"/>
    <xf numFmtId="167" fontId="0" fillId="0" borderId="3" xfId="1026" applyFont="1" applyFill="1" applyBorder="1" applyProtection="1"/>
    <xf numFmtId="167" fontId="116" fillId="0" borderId="3" xfId="1538" applyNumberFormat="1" applyBorder="1"/>
    <xf numFmtId="167" fontId="144" fillId="0" borderId="3" xfId="1026" applyFont="1" applyBorder="1" applyProtection="1"/>
    <xf numFmtId="167" fontId="0" fillId="0" borderId="3" xfId="1026" applyFont="1" applyBorder="1" applyProtection="1"/>
    <xf numFmtId="167" fontId="132" fillId="0" borderId="3" xfId="1538" applyNumberFormat="1" applyFont="1" applyBorder="1"/>
    <xf numFmtId="0" fontId="65" fillId="0" borderId="3" xfId="1538" applyFont="1" applyBorder="1"/>
    <xf numFmtId="165" fontId="116" fillId="0" borderId="3" xfId="1538" applyNumberFormat="1" applyBorder="1"/>
    <xf numFmtId="167" fontId="108" fillId="0" borderId="3" xfId="1026" applyFont="1" applyFill="1" applyBorder="1" applyProtection="1"/>
    <xf numFmtId="0" fontId="53" fillId="0" borderId="0" xfId="1538" applyFont="1"/>
    <xf numFmtId="0" fontId="53" fillId="0" borderId="3" xfId="1538" applyFont="1" applyBorder="1" applyAlignment="1">
      <alignment horizontal="center"/>
    </xf>
    <xf numFmtId="167" fontId="53" fillId="0" borderId="3" xfId="1538" applyNumberFormat="1" applyFont="1" applyBorder="1"/>
    <xf numFmtId="0" fontId="116" fillId="29" borderId="0" xfId="1538" applyFill="1"/>
    <xf numFmtId="0" fontId="53" fillId="0" borderId="0" xfId="1538" applyFont="1" applyAlignment="1">
      <alignment horizontal="center"/>
    </xf>
    <xf numFmtId="167" fontId="53" fillId="0" borderId="0" xfId="1538" applyNumberFormat="1" applyFont="1"/>
    <xf numFmtId="0" fontId="116" fillId="29" borderId="3" xfId="1538" applyFill="1" applyBorder="1"/>
    <xf numFmtId="169" fontId="116" fillId="29" borderId="3" xfId="1538" applyNumberFormat="1" applyFill="1" applyBorder="1" applyAlignment="1">
      <alignment horizontal="right"/>
    </xf>
    <xf numFmtId="43" fontId="116" fillId="0" borderId="0" xfId="1538" applyNumberFormat="1"/>
    <xf numFmtId="167" fontId="116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6" fillId="29" borderId="3" xfId="1538" applyNumberFormat="1" applyFill="1" applyBorder="1"/>
    <xf numFmtId="10" fontId="116" fillId="29" borderId="3" xfId="1538" applyNumberFormat="1" applyFill="1" applyBorder="1"/>
    <xf numFmtId="0" fontId="153" fillId="0" borderId="0" xfId="1614" applyFont="1" applyAlignment="1">
      <alignment horizontal="center"/>
    </xf>
    <xf numFmtId="0" fontId="154" fillId="0" borderId="0" xfId="1614" applyFont="1" applyAlignment="1">
      <alignment horizontal="center" vertical="center"/>
    </xf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4" fillId="0" borderId="0" xfId="1614" applyFont="1" applyAlignment="1">
      <alignment horizontal="center"/>
    </xf>
    <xf numFmtId="3" fontId="153" fillId="0" borderId="0" xfId="1614" applyNumberFormat="1" applyFont="1" applyAlignment="1">
      <alignment horizontal="center"/>
    </xf>
    <xf numFmtId="0" fontId="158" fillId="0" borderId="0" xfId="1614" applyFont="1"/>
    <xf numFmtId="167" fontId="158" fillId="0" borderId="0" xfId="1652" applyNumberFormat="1" applyFont="1"/>
    <xf numFmtId="0" fontId="158" fillId="0" borderId="0" xfId="1614" applyFont="1" applyAlignment="1">
      <alignment horizontal="left" vertical="center"/>
    </xf>
    <xf numFmtId="0" fontId="158" fillId="0" borderId="0" xfId="1614" applyFont="1" applyAlignment="1">
      <alignment horizontal="center" vertical="center"/>
    </xf>
    <xf numFmtId="3" fontId="155" fillId="0" borderId="0" xfId="1614" applyNumberFormat="1" applyFont="1" applyAlignment="1">
      <alignment horizontal="left" vertical="center"/>
    </xf>
    <xf numFmtId="0" fontId="158" fillId="0" borderId="0" xfId="1614" applyFont="1" applyAlignment="1">
      <alignment horizontal="center"/>
    </xf>
    <xf numFmtId="0" fontId="155" fillId="0" borderId="0" xfId="1614" applyFont="1" applyAlignment="1">
      <alignment horizontal="center"/>
    </xf>
    <xf numFmtId="0" fontId="158" fillId="0" borderId="0" xfId="1614" applyFont="1" applyAlignment="1">
      <alignment horizontal="center" vertical="center" wrapText="1"/>
    </xf>
    <xf numFmtId="0" fontId="155" fillId="0" borderId="0" xfId="1614" applyFont="1" applyAlignment="1">
      <alignment horizontal="center" vertical="center" wrapText="1"/>
    </xf>
    <xf numFmtId="3" fontId="154" fillId="0" borderId="0" xfId="1614" applyNumberFormat="1" applyFont="1" applyAlignment="1">
      <alignment vertical="center"/>
    </xf>
    <xf numFmtId="0" fontId="154" fillId="0" borderId="21" xfId="1614" applyFont="1" applyBorder="1" applyAlignment="1">
      <alignment horizontal="center" vertical="center" wrapText="1"/>
    </xf>
    <xf numFmtId="0" fontId="161" fillId="0" borderId="21" xfId="1614" applyFont="1" applyBorder="1" applyAlignment="1">
      <alignment horizontal="center" vertical="center"/>
    </xf>
    <xf numFmtId="3" fontId="161" fillId="0" borderId="21" xfId="1614" applyNumberFormat="1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54" fillId="0" borderId="22" xfId="1614" applyNumberFormat="1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/>
    </xf>
    <xf numFmtId="3" fontId="153" fillId="0" borderId="0" xfId="1614" applyNumberFormat="1" applyFont="1" applyAlignment="1">
      <alignment horizontal="center" vertical="center"/>
    </xf>
    <xf numFmtId="0" fontId="161" fillId="0" borderId="0" xfId="1614" applyFont="1" applyAlignment="1">
      <alignment horizontal="center"/>
    </xf>
    <xf numFmtId="0" fontId="156" fillId="0" borderId="21" xfId="1653" applyFont="1" applyBorder="1" applyAlignment="1">
      <alignment horizontal="center" vertical="center"/>
    </xf>
    <xf numFmtId="3" fontId="157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61" fillId="0" borderId="21" xfId="1652" applyFont="1" applyBorder="1" applyAlignment="1">
      <alignment horizontal="center" vertical="center"/>
    </xf>
    <xf numFmtId="0" fontId="161" fillId="0" borderId="49" xfId="1652" applyFont="1" applyBorder="1" applyAlignment="1">
      <alignment horizontal="center" vertical="center"/>
    </xf>
    <xf numFmtId="0" fontId="161" fillId="0" borderId="3" xfId="1652" applyFont="1" applyBorder="1" applyAlignment="1">
      <alignment vertical="center" wrapText="1"/>
    </xf>
    <xf numFmtId="0" fontId="154" fillId="0" borderId="3" xfId="1614" applyFont="1" applyBorder="1" applyAlignment="1">
      <alignment horizontal="center" vertical="center" wrapText="1"/>
    </xf>
    <xf numFmtId="0" fontId="161" fillId="0" borderId="3" xfId="1614" applyFont="1" applyBorder="1" applyAlignment="1">
      <alignment horizontal="center" vertical="center"/>
    </xf>
    <xf numFmtId="0" fontId="161" fillId="0" borderId="3" xfId="1652" applyFont="1" applyBorder="1" applyAlignment="1">
      <alignment horizontal="center" vertical="center"/>
    </xf>
    <xf numFmtId="207" fontId="161" fillId="0" borderId="3" xfId="1614" applyNumberFormat="1" applyFont="1" applyBorder="1" applyAlignment="1">
      <alignment horizontal="center" vertical="center"/>
    </xf>
    <xf numFmtId="3" fontId="154" fillId="0" borderId="3" xfId="1614" applyNumberFormat="1" applyFont="1" applyBorder="1" applyAlignment="1">
      <alignment horizontal="center" vertical="center"/>
    </xf>
    <xf numFmtId="0" fontId="161" fillId="0" borderId="20" xfId="1652" applyFont="1" applyBorder="1" applyAlignment="1">
      <alignment horizontal="center" vertical="center"/>
    </xf>
    <xf numFmtId="0" fontId="161" fillId="0" borderId="21" xfId="1652" applyFont="1" applyBorder="1" applyAlignment="1">
      <alignment vertical="center" wrapText="1"/>
    </xf>
    <xf numFmtId="0" fontId="154" fillId="0" borderId="23" xfId="1614" applyFont="1" applyBorder="1" applyAlignment="1">
      <alignment horizontal="center" vertical="center"/>
    </xf>
    <xf numFmtId="0" fontId="154" fillId="0" borderId="24" xfId="1614" applyFont="1" applyBorder="1" applyAlignment="1">
      <alignment horizontal="left" vertical="center"/>
    </xf>
    <xf numFmtId="0" fontId="154" fillId="0" borderId="24" xfId="1614" applyFont="1" applyBorder="1" applyAlignment="1">
      <alignment vertical="center"/>
    </xf>
    <xf numFmtId="0" fontId="161" fillId="0" borderId="24" xfId="1614" applyFont="1" applyBorder="1" applyAlignment="1">
      <alignment horizontal="center" vertical="center"/>
    </xf>
    <xf numFmtId="3" fontId="154" fillId="0" borderId="24" xfId="1614" applyNumberFormat="1" applyFont="1" applyBorder="1" applyAlignment="1">
      <alignment horizontal="center" vertical="center"/>
    </xf>
    <xf numFmtId="3" fontId="154" fillId="0" borderId="25" xfId="1614" applyNumberFormat="1" applyFont="1" applyBorder="1" applyAlignment="1">
      <alignment horizontal="center" vertical="center"/>
    </xf>
    <xf numFmtId="0" fontId="156" fillId="0" borderId="26" xfId="1614" applyFont="1" applyBorder="1" applyAlignment="1">
      <alignment horizontal="center" vertical="center"/>
    </xf>
    <xf numFmtId="37" fontId="158" fillId="0" borderId="27" xfId="1614" applyNumberFormat="1" applyFont="1" applyBorder="1" applyAlignment="1">
      <alignment horizontal="center"/>
    </xf>
    <xf numFmtId="37" fontId="156" fillId="0" borderId="27" xfId="1614" applyNumberFormat="1" applyFont="1" applyBorder="1" applyAlignment="1">
      <alignment horizontal="center"/>
    </xf>
    <xf numFmtId="0" fontId="156" fillId="0" borderId="28" xfId="1614" applyFont="1" applyBorder="1" applyAlignment="1">
      <alignment horizontal="center" vertical="center"/>
    </xf>
    <xf numFmtId="37" fontId="158" fillId="0" borderId="29" xfId="1614" applyNumberFormat="1" applyFont="1" applyBorder="1" applyAlignment="1">
      <alignment horizontal="center"/>
    </xf>
    <xf numFmtId="37" fontId="156" fillId="0" borderId="29" xfId="1614" applyNumberFormat="1" applyFont="1" applyBorder="1" applyAlignment="1">
      <alignment horizontal="center"/>
    </xf>
    <xf numFmtId="37" fontId="162" fillId="0" borderId="30" xfId="1614" applyNumberFormat="1" applyFont="1" applyBorder="1" applyAlignment="1">
      <alignment horizontal="center"/>
    </xf>
    <xf numFmtId="37" fontId="162" fillId="0" borderId="32" xfId="1614" applyNumberFormat="1" applyFont="1" applyBorder="1" applyAlignment="1">
      <alignment horizontal="center"/>
    </xf>
    <xf numFmtId="0" fontId="162" fillId="0" borderId="34" xfId="1614" applyFont="1" applyBorder="1" applyAlignment="1">
      <alignment vertical="center"/>
    </xf>
    <xf numFmtId="0" fontId="156" fillId="0" borderId="19" xfId="1614" applyFont="1" applyBorder="1"/>
    <xf numFmtId="0" fontId="156" fillId="0" borderId="19" xfId="1614" applyFont="1" applyBorder="1" applyAlignment="1">
      <alignment horizontal="center"/>
    </xf>
    <xf numFmtId="0" fontId="156" fillId="0" borderId="19" xfId="1614" applyFont="1" applyBorder="1" applyAlignment="1">
      <alignment horizontal="right"/>
    </xf>
    <xf numFmtId="0" fontId="156" fillId="0" borderId="31" xfId="1614" applyFont="1" applyBorder="1" applyAlignment="1">
      <alignment horizontal="right"/>
    </xf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vertical="center"/>
    </xf>
    <xf numFmtId="0" fontId="161" fillId="0" borderId="0" xfId="1614" applyFont="1" applyAlignment="1">
      <alignment horizontal="center" vertical="center"/>
    </xf>
    <xf numFmtId="165" fontId="161" fillId="0" borderId="0" xfId="1652" applyNumberFormat="1" applyFont="1" applyAlignment="1">
      <alignment vertical="center"/>
    </xf>
    <xf numFmtId="0" fontId="156" fillId="0" borderId="0" xfId="1652" applyFont="1" applyAlignment="1">
      <alignment horizontal="right"/>
    </xf>
    <xf numFmtId="0" fontId="163" fillId="0" borderId="0" xfId="1644" applyFont="1" applyAlignment="1">
      <alignment horizontal="center" vertical="center"/>
    </xf>
    <xf numFmtId="0" fontId="161" fillId="0" borderId="0" xfId="1652" applyFont="1" applyAlignment="1">
      <alignment vertical="center"/>
    </xf>
    <xf numFmtId="0" fontId="164" fillId="39" borderId="79" xfId="2670" applyFont="1" applyFill="1" applyBorder="1" applyAlignment="1">
      <alignment horizontal="left" vertical="center"/>
    </xf>
    <xf numFmtId="0" fontId="164" fillId="39" borderId="80" xfId="2670" applyFont="1" applyFill="1" applyBorder="1" applyAlignment="1">
      <alignment horizontal="center" vertical="center"/>
    </xf>
    <xf numFmtId="0" fontId="164" fillId="39" borderId="82" xfId="2670" applyFont="1" applyFill="1" applyBorder="1" applyAlignment="1">
      <alignment horizontal="left" vertical="center"/>
    </xf>
    <xf numFmtId="0" fontId="164" fillId="39" borderId="78" xfId="2670" applyFont="1" applyFill="1" applyBorder="1" applyAlignment="1">
      <alignment horizontal="center" vertical="center"/>
    </xf>
    <xf numFmtId="0" fontId="164" fillId="39" borderId="84" xfId="2670" applyFont="1" applyFill="1" applyBorder="1" applyAlignment="1">
      <alignment horizontal="left" vertical="center"/>
    </xf>
    <xf numFmtId="0" fontId="164" fillId="39" borderId="85" xfId="2670" applyFont="1" applyFill="1" applyBorder="1" applyAlignment="1">
      <alignment horizontal="center" vertical="center"/>
    </xf>
    <xf numFmtId="167" fontId="145" fillId="40" borderId="81" xfId="2672" applyFont="1" applyFill="1" applyBorder="1" applyAlignment="1" applyProtection="1">
      <alignment horizontal="right" vertical="center" wrapText="1"/>
      <protection locked="0"/>
    </xf>
    <xf numFmtId="167" fontId="145" fillId="40" borderId="83" xfId="2672" applyFont="1" applyFill="1" applyBorder="1" applyAlignment="1" applyProtection="1">
      <alignment horizontal="right" vertical="center"/>
      <protection locked="0"/>
    </xf>
    <xf numFmtId="169" fontId="145" fillId="40" borderId="83" xfId="2672" applyNumberFormat="1" applyFont="1" applyFill="1" applyBorder="1" applyAlignment="1" applyProtection="1">
      <alignment horizontal="right" vertical="center"/>
      <protection locked="0"/>
    </xf>
    <xf numFmtId="169" fontId="145" fillId="40" borderId="86" xfId="2672" applyNumberFormat="1" applyFont="1" applyFill="1" applyBorder="1" applyAlignment="1" applyProtection="1">
      <alignment horizontal="right" vertical="center"/>
      <protection locked="0"/>
    </xf>
    <xf numFmtId="0" fontId="125" fillId="0" borderId="0" xfId="1451" applyFont="1"/>
    <xf numFmtId="0" fontId="126" fillId="0" borderId="0" xfId="1451" applyFont="1" applyAlignment="1">
      <alignment vertical="center"/>
    </xf>
    <xf numFmtId="0" fontId="152" fillId="0" borderId="0" xfId="1451" applyFont="1"/>
    <xf numFmtId="0" fontId="127" fillId="0" borderId="0" xfId="1451" applyFont="1" applyAlignment="1">
      <alignment vertical="center"/>
    </xf>
    <xf numFmtId="0" fontId="128" fillId="0" borderId="0" xfId="1451" applyFont="1" applyAlignment="1">
      <alignment horizontal="center" vertical="center"/>
    </xf>
    <xf numFmtId="0" fontId="129" fillId="0" borderId="0" xfId="1451" applyFont="1"/>
    <xf numFmtId="0" fontId="130" fillId="0" borderId="0" xfId="1451" applyFont="1"/>
    <xf numFmtId="0" fontId="120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5" fillId="0" borderId="0" xfId="1451" applyFont="1" applyAlignment="1">
      <alignment horizontal="center" vertical="center"/>
    </xf>
    <xf numFmtId="0" fontId="125" fillId="0" borderId="0" xfId="1451" applyFont="1" applyAlignment="1">
      <alignment horizontal="center"/>
    </xf>
    <xf numFmtId="0" fontId="127" fillId="35" borderId="0" xfId="1451" applyFont="1" applyFill="1" applyAlignment="1">
      <alignment vertical="center"/>
    </xf>
    <xf numFmtId="0" fontId="130" fillId="0" borderId="19" xfId="1451" applyFont="1" applyBorder="1" applyAlignment="1">
      <alignment horizontal="center"/>
    </xf>
    <xf numFmtId="0" fontId="130" fillId="0" borderId="19" xfId="1451" applyFont="1" applyBorder="1"/>
    <xf numFmtId="1" fontId="111" fillId="0" borderId="0" xfId="2673" applyNumberFormat="1" applyFont="1" applyAlignment="1">
      <alignment horizontal="center" vertical="center" wrapText="1"/>
    </xf>
    <xf numFmtId="1" fontId="109" fillId="0" borderId="0" xfId="2673" applyNumberFormat="1" applyFont="1" applyAlignment="1">
      <alignment horizontal="center" vertical="center" wrapText="1"/>
    </xf>
    <xf numFmtId="0" fontId="110" fillId="0" borderId="62" xfId="2673" applyFont="1" applyBorder="1" applyAlignment="1">
      <alignment horizontal="center" vertical="center" wrapText="1"/>
    </xf>
    <xf numFmtId="0" fontId="168" fillId="0" borderId="0" xfId="2673" applyFont="1" applyAlignment="1">
      <alignment horizontal="center" vertical="center" wrapText="1"/>
    </xf>
    <xf numFmtId="0" fontId="169" fillId="0" borderId="0" xfId="2673" applyFont="1" applyAlignment="1">
      <alignment vertical="center" wrapText="1"/>
    </xf>
    <xf numFmtId="0" fontId="170" fillId="0" borderId="0" xfId="2673" applyFont="1" applyAlignment="1">
      <alignment vertical="center" wrapText="1"/>
    </xf>
    <xf numFmtId="0" fontId="151" fillId="35" borderId="90" xfId="2673" applyFont="1" applyFill="1" applyBorder="1" applyAlignment="1">
      <alignment vertical="center" wrapText="1"/>
    </xf>
    <xf numFmtId="0" fontId="151" fillId="43" borderId="90" xfId="2673" applyFont="1" applyFill="1" applyBorder="1" applyAlignment="1">
      <alignment vertical="center" wrapText="1"/>
    </xf>
    <xf numFmtId="0" fontId="167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1" fontId="174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9" fillId="35" borderId="32" xfId="2673" applyFont="1" applyFill="1" applyBorder="1" applyAlignment="1">
      <alignment vertical="center" wrapText="1"/>
    </xf>
    <xf numFmtId="0" fontId="139" fillId="43" borderId="32" xfId="2673" applyFont="1" applyFill="1" applyBorder="1" applyAlignment="1">
      <alignment vertical="center" wrapText="1"/>
    </xf>
    <xf numFmtId="0" fontId="139" fillId="0" borderId="0" xfId="2673" applyFont="1" applyAlignment="1">
      <alignment vertical="center" wrapText="1"/>
    </xf>
    <xf numFmtId="2" fontId="139" fillId="0" borderId="0" xfId="2673" applyNumberFormat="1" applyFont="1" applyAlignment="1">
      <alignment horizontal="center" vertical="center" wrapText="1"/>
    </xf>
    <xf numFmtId="0" fontId="110" fillId="0" borderId="3" xfId="2673" applyFont="1" applyBorder="1" applyAlignment="1">
      <alignment horizontal="center" vertical="center" wrapText="1"/>
    </xf>
    <xf numFmtId="0" fontId="15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2" fillId="0" borderId="0" xfId="2673" applyNumberFormat="1" applyAlignment="1">
      <alignment vertical="center" wrapText="1"/>
    </xf>
    <xf numFmtId="1" fontId="12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9" fillId="0" borderId="0" xfId="2675" applyFont="1" applyFill="1" applyBorder="1" applyAlignment="1">
      <alignment horizontal="center" vertical="center" wrapText="1"/>
    </xf>
    <xf numFmtId="1" fontId="139" fillId="0" borderId="50" xfId="2673" applyNumberFormat="1" applyFont="1" applyBorder="1" applyAlignment="1">
      <alignment vertical="center" wrapText="1"/>
    </xf>
    <xf numFmtId="0" fontId="175" fillId="0" borderId="0" xfId="2673" applyFont="1" applyAlignment="1">
      <alignment vertical="center" wrapText="1"/>
    </xf>
    <xf numFmtId="0" fontId="175" fillId="0" borderId="0" xfId="2673" applyFont="1" applyAlignment="1">
      <alignment horizontal="center" vertical="center" wrapText="1"/>
    </xf>
    <xf numFmtId="2" fontId="175" fillId="0" borderId="0" xfId="2673" applyNumberFormat="1" applyFont="1" applyAlignment="1">
      <alignment horizontal="center" vertical="center" wrapText="1"/>
    </xf>
    <xf numFmtId="1" fontId="175" fillId="0" borderId="0" xfId="2673" applyNumberFormat="1" applyFont="1" applyAlignment="1">
      <alignment horizontal="center" vertical="center" wrapText="1"/>
    </xf>
    <xf numFmtId="0" fontId="176" fillId="0" borderId="0" xfId="2673" applyFont="1" applyAlignment="1">
      <alignment vertical="center" wrapText="1"/>
    </xf>
    <xf numFmtId="0" fontId="151" fillId="35" borderId="51" xfId="2673" applyFont="1" applyFill="1" applyBorder="1" applyAlignment="1">
      <alignment vertical="center" wrapText="1"/>
    </xf>
    <xf numFmtId="0" fontId="151" fillId="0" borderId="53" xfId="2673" applyFont="1" applyBorder="1" applyAlignment="1">
      <alignment horizontal="center" vertical="center" wrapText="1"/>
    </xf>
    <xf numFmtId="0" fontId="151" fillId="35" borderId="49" xfId="2673" applyFont="1" applyFill="1" applyBorder="1" applyAlignment="1">
      <alignment vertical="center" wrapText="1"/>
    </xf>
    <xf numFmtId="1" fontId="139" fillId="0" borderId="58" xfId="2673" applyNumberFormat="1" applyFont="1" applyBorder="1" applyAlignment="1">
      <alignment vertical="center" wrapText="1"/>
    </xf>
    <xf numFmtId="0" fontId="139" fillId="35" borderId="49" xfId="2673" applyFont="1" applyFill="1" applyBorder="1" applyAlignment="1">
      <alignment vertical="center" wrapText="1"/>
    </xf>
    <xf numFmtId="0" fontId="139" fillId="35" borderId="94" xfId="2673" applyFont="1" applyFill="1" applyBorder="1" applyAlignment="1">
      <alignment vertical="center" wrapText="1"/>
    </xf>
    <xf numFmtId="0" fontId="110" fillId="0" borderId="64" xfId="2673" applyFont="1" applyBorder="1" applyAlignment="1">
      <alignment horizontal="center" vertical="center" wrapText="1"/>
    </xf>
    <xf numFmtId="0" fontId="151" fillId="0" borderId="51" xfId="2673" applyFont="1" applyBorder="1" applyAlignment="1">
      <alignment vertical="center" wrapText="1"/>
    </xf>
    <xf numFmtId="0" fontId="151" fillId="0" borderId="49" xfId="2673" applyFont="1" applyBorder="1" applyAlignment="1">
      <alignment vertical="center" wrapText="1"/>
    </xf>
    <xf numFmtId="0" fontId="139" fillId="0" borderId="49" xfId="2673" applyFont="1" applyBorder="1" applyAlignment="1">
      <alignment vertical="center" wrapText="1"/>
    </xf>
    <xf numFmtId="0" fontId="139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7" fillId="0" borderId="0" xfId="2676" applyFont="1" applyAlignment="1">
      <alignment horizontal="center" vertical="center"/>
    </xf>
    <xf numFmtId="0" fontId="11" fillId="0" borderId="0" xfId="2670" applyFont="1" applyAlignment="1">
      <alignment horizontal="center" vertical="center"/>
    </xf>
    <xf numFmtId="0" fontId="132" fillId="0" borderId="0" xfId="2670" applyFont="1" applyAlignment="1">
      <alignment horizontal="left" vertical="center"/>
    </xf>
    <xf numFmtId="0" fontId="11" fillId="0" borderId="21" xfId="1653" applyFont="1" applyBorder="1" applyAlignment="1">
      <alignment horizontal="left" vertical="center" wrapText="1"/>
    </xf>
    <xf numFmtId="207" fontId="48" fillId="0" borderId="21" xfId="2549" applyNumberFormat="1" applyFont="1" applyBorder="1" applyAlignment="1">
      <alignment horizontal="center" vertical="center" wrapText="1"/>
    </xf>
    <xf numFmtId="0" fontId="48" fillId="0" borderId="21" xfId="2677" applyFont="1" applyBorder="1" applyAlignment="1">
      <alignment horizontal="left" vertical="center" wrapText="1"/>
    </xf>
    <xf numFmtId="0" fontId="120" fillId="33" borderId="0" xfId="0" applyFont="1" applyFill="1" applyAlignment="1">
      <alignment horizontal="left"/>
    </xf>
    <xf numFmtId="169" fontId="149" fillId="47" borderId="0" xfId="2672" applyNumberFormat="1" applyFont="1" applyFill="1" applyBorder="1" applyAlignment="1" applyProtection="1">
      <alignment horizontal="right" vertical="center"/>
    </xf>
    <xf numFmtId="0" fontId="96" fillId="0" borderId="97" xfId="1450" applyFont="1" applyBorder="1" applyAlignment="1">
      <alignment horizontal="left" vertical="center"/>
    </xf>
    <xf numFmtId="0" fontId="96" fillId="0" borderId="98" xfId="1450" applyFont="1" applyBorder="1" applyAlignment="1">
      <alignment horizontal="left" vertical="center"/>
    </xf>
    <xf numFmtId="0" fontId="96" fillId="0" borderId="40" xfId="1450" applyFont="1" applyBorder="1" applyAlignment="1">
      <alignment horizontal="center" vertical="center"/>
    </xf>
    <xf numFmtId="0" fontId="96" fillId="0" borderId="47" xfId="1450" applyFont="1" applyBorder="1" applyAlignment="1">
      <alignment horizontal="center" vertical="center"/>
    </xf>
    <xf numFmtId="0" fontId="47" fillId="0" borderId="20" xfId="1615" applyFont="1" applyBorder="1" applyAlignment="1">
      <alignment horizontal="center" vertical="center"/>
    </xf>
    <xf numFmtId="0" fontId="47" fillId="0" borderId="21" xfId="1615" applyFont="1" applyBorder="1" applyAlignment="1">
      <alignment horizontal="left" vertical="center" wrapText="1"/>
    </xf>
    <xf numFmtId="0" fontId="14" fillId="0" borderId="21" xfId="1614" applyFont="1" applyBorder="1" applyAlignment="1">
      <alignment horizontal="center" vertical="center"/>
    </xf>
    <xf numFmtId="0" fontId="132" fillId="0" borderId="20" xfId="1652" applyFont="1" applyBorder="1" applyAlignment="1">
      <alignment horizontal="center" vertical="center"/>
    </xf>
    <xf numFmtId="0" fontId="132" fillId="0" borderId="21" xfId="1652" applyFont="1" applyBorder="1" applyAlignment="1">
      <alignment horizontal="left" vertical="center" wrapText="1"/>
    </xf>
    <xf numFmtId="0" fontId="119" fillId="33" borderId="0" xfId="0" applyFont="1" applyFill="1" applyAlignment="1">
      <alignment horizontal="left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horizontal="center" vertical="center"/>
    </xf>
    <xf numFmtId="0" fontId="160" fillId="0" borderId="20" xfId="1652" applyFont="1" applyBorder="1" applyAlignment="1">
      <alignment horizontal="center" vertical="center"/>
    </xf>
    <xf numFmtId="0" fontId="160" fillId="0" borderId="21" xfId="1652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5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8" fillId="0" borderId="20" xfId="1652" applyFont="1" applyBorder="1" applyAlignment="1">
      <alignment horizontal="center" vertical="center"/>
    </xf>
    <xf numFmtId="0" fontId="48" fillId="0" borderId="21" xfId="0" applyFont="1" applyBorder="1" applyAlignment="1">
      <alignment horizontal="left" vertical="center" wrapText="1"/>
    </xf>
    <xf numFmtId="3" fontId="14" fillId="0" borderId="21" xfId="1599" applyNumberFormat="1" applyFont="1" applyBorder="1" applyAlignment="1">
      <alignment horizontal="center" vertical="center"/>
    </xf>
    <xf numFmtId="0" fontId="118" fillId="0" borderId="21" xfId="1652" applyFont="1" applyBorder="1" applyAlignment="1">
      <alignment vertical="center"/>
    </xf>
    <xf numFmtId="0" fontId="48" fillId="0" borderId="21" xfId="1450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vertical="center" wrapText="1"/>
    </xf>
    <xf numFmtId="3" fontId="47" fillId="31" borderId="38" xfId="1615" applyNumberFormat="1" applyFont="1" applyFill="1" applyBorder="1" applyAlignment="1">
      <alignment horizontal="center" vertical="center"/>
    </xf>
    <xf numFmtId="3" fontId="47" fillId="31" borderId="66" xfId="1615" applyNumberFormat="1" applyFont="1" applyFill="1" applyBorder="1" applyAlignment="1">
      <alignment horizontal="center" vertical="center"/>
    </xf>
    <xf numFmtId="3" fontId="47" fillId="31" borderId="18" xfId="1615" applyNumberFormat="1" applyFont="1" applyFill="1" applyBorder="1" applyAlignment="1">
      <alignment horizontal="center" vertical="center"/>
    </xf>
    <xf numFmtId="3" fontId="47" fillId="31" borderId="42" xfId="1615" applyNumberFormat="1" applyFont="1" applyFill="1" applyBorder="1" applyAlignment="1">
      <alignment horizontal="center" vertical="center"/>
    </xf>
    <xf numFmtId="3" fontId="47" fillId="31" borderId="43" xfId="1615" applyNumberFormat="1" applyFont="1" applyFill="1" applyBorder="1" applyAlignment="1">
      <alignment horizontal="center" vertical="center"/>
    </xf>
    <xf numFmtId="3" fontId="47" fillId="31" borderId="67" xfId="1615" applyNumberFormat="1" applyFont="1" applyFill="1" applyBorder="1" applyAlignment="1">
      <alignment horizontal="center" vertical="center"/>
    </xf>
    <xf numFmtId="3" fontId="47" fillId="31" borderId="3" xfId="1615" applyNumberFormat="1" applyFont="1" applyFill="1" applyBorder="1" applyAlignment="1">
      <alignment horizontal="center" vertical="center"/>
    </xf>
    <xf numFmtId="0" fontId="100" fillId="0" borderId="0" xfId="1653" applyFont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6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 wrapText="1"/>
    </xf>
    <xf numFmtId="0" fontId="100" fillId="0" borderId="0" xfId="1652" applyFont="1" applyAlignment="1">
      <alignment horizontal="center" vertical="center"/>
    </xf>
    <xf numFmtId="0" fontId="54" fillId="0" borderId="51" xfId="1614" applyFont="1" applyBorder="1" applyAlignment="1">
      <alignment horizontal="center" vertical="center"/>
    </xf>
    <xf numFmtId="0" fontId="54" fillId="0" borderId="49" xfId="1614" applyFont="1" applyBorder="1" applyAlignment="1">
      <alignment horizontal="center" vertical="center"/>
    </xf>
    <xf numFmtId="0" fontId="54" fillId="0" borderId="52" xfId="1614" applyFont="1" applyBorder="1" applyAlignment="1">
      <alignment horizontal="center" vertical="center"/>
    </xf>
    <xf numFmtId="0" fontId="54" fillId="0" borderId="21" xfId="1614" applyFont="1" applyBorder="1" applyAlignment="1">
      <alignment horizontal="center" vertical="center"/>
    </xf>
    <xf numFmtId="0" fontId="54" fillId="0" borderId="33" xfId="1614" applyFont="1" applyBorder="1" applyAlignment="1">
      <alignment horizontal="center" vertical="center"/>
    </xf>
    <xf numFmtId="0" fontId="56" fillId="0" borderId="53" xfId="1614" applyFont="1" applyBorder="1" applyAlignment="1">
      <alignment horizontal="center" vertical="center"/>
    </xf>
    <xf numFmtId="0" fontId="56" fillId="0" borderId="3" xfId="1614" applyFont="1" applyBorder="1" applyAlignment="1">
      <alignment horizontal="center" vertical="center"/>
    </xf>
    <xf numFmtId="0" fontId="54" fillId="0" borderId="52" xfId="1614" applyFont="1" applyBorder="1" applyAlignment="1">
      <alignment horizontal="center" vertical="center" wrapText="1"/>
    </xf>
    <xf numFmtId="0" fontId="54" fillId="0" borderId="21" xfId="1614" applyFont="1" applyBorder="1" applyAlignment="1">
      <alignment horizontal="center" vertical="center" wrapText="1"/>
    </xf>
    <xf numFmtId="0" fontId="54" fillId="0" borderId="33" xfId="1614" applyFont="1" applyBorder="1" applyAlignment="1">
      <alignment horizontal="center" vertical="center" wrapText="1"/>
    </xf>
    <xf numFmtId="0" fontId="56" fillId="0" borderId="54" xfId="1614" applyFont="1" applyBorder="1" applyAlignment="1">
      <alignment horizontal="center" vertical="center"/>
    </xf>
    <xf numFmtId="0" fontId="51" fillId="0" borderId="0" xfId="1652" applyFont="1" applyAlignment="1">
      <alignment horizontal="center" vertical="center"/>
    </xf>
    <xf numFmtId="0" fontId="115" fillId="0" borderId="0" xfId="1652" applyAlignment="1">
      <alignment horizontal="center" vertical="center"/>
    </xf>
    <xf numFmtId="0" fontId="56" fillId="0" borderId="39" xfId="1614" applyFont="1" applyBorder="1" applyAlignment="1">
      <alignment horizontal="center" vertical="center"/>
    </xf>
    <xf numFmtId="0" fontId="56" fillId="0" borderId="35" xfId="1652" applyFont="1" applyBorder="1" applyAlignment="1">
      <alignment horizontal="center" vertical="center" wrapText="1"/>
    </xf>
    <xf numFmtId="0" fontId="56" fillId="0" borderId="33" xfId="1652" applyFont="1" applyBorder="1" applyAlignment="1">
      <alignment horizontal="center" vertical="center" wrapText="1"/>
    </xf>
    <xf numFmtId="37" fontId="66" fillId="0" borderId="19" xfId="1614" applyNumberFormat="1" applyFont="1" applyBorder="1" applyAlignment="1">
      <alignment horizontal="center"/>
    </xf>
    <xf numFmtId="0" fontId="66" fillId="0" borderId="26" xfId="1614" applyFont="1" applyBorder="1" applyAlignment="1">
      <alignment horizontal="left" vertical="center"/>
    </xf>
    <xf numFmtId="0" fontId="66" fillId="0" borderId="36" xfId="1614" applyFont="1" applyBorder="1" applyAlignment="1">
      <alignment horizontal="left" vertical="center"/>
    </xf>
    <xf numFmtId="0" fontId="66" fillId="0" borderId="48" xfId="1614" applyFont="1" applyBorder="1" applyAlignment="1">
      <alignment horizontal="left" vertical="center"/>
    </xf>
    <xf numFmtId="0" fontId="66" fillId="0" borderId="28" xfId="1614" applyFont="1" applyBorder="1" applyAlignment="1">
      <alignment horizontal="left" vertical="center"/>
    </xf>
    <xf numFmtId="0" fontId="66" fillId="0" borderId="0" xfId="1614" applyFont="1" applyAlignment="1">
      <alignment horizontal="left" vertical="center"/>
    </xf>
    <xf numFmtId="0" fontId="66" fillId="0" borderId="37" xfId="1614" applyFont="1" applyBorder="1" applyAlignment="1">
      <alignment horizontal="left" vertical="center"/>
    </xf>
    <xf numFmtId="0" fontId="56" fillId="0" borderId="0" xfId="1614" applyFont="1" applyAlignment="1">
      <alignment horizontal="left" vertical="top" wrapText="1"/>
    </xf>
    <xf numFmtId="37" fontId="115" fillId="0" borderId="36" xfId="1614" applyNumberFormat="1" applyBorder="1" applyAlignment="1">
      <alignment horizontal="center"/>
    </xf>
    <xf numFmtId="37" fontId="115" fillId="0" borderId="0" xfId="1614" applyNumberFormat="1" applyAlignment="1">
      <alignment horizontal="center"/>
    </xf>
    <xf numFmtId="169" fontId="47" fillId="0" borderId="3" xfId="714" applyFont="1" applyFill="1" applyBorder="1" applyAlignment="1">
      <alignment horizontal="center" vertical="center" wrapText="1"/>
    </xf>
    <xf numFmtId="0" fontId="58" fillId="0" borderId="0" xfId="1448" applyFont="1" applyAlignment="1">
      <alignment horizontal="center" wrapText="1"/>
    </xf>
    <xf numFmtId="0" fontId="47" fillId="0" borderId="3" xfId="1448" applyFont="1" applyBorder="1" applyAlignment="1">
      <alignment horizontal="center" vertical="center" wrapText="1"/>
    </xf>
    <xf numFmtId="0" fontId="59" fillId="0" borderId="3" xfId="1448" applyFont="1" applyBorder="1" applyAlignment="1">
      <alignment horizontal="center" vertical="center" wrapText="1"/>
    </xf>
    <xf numFmtId="0" fontId="168" fillId="42" borderId="87" xfId="2673" applyFont="1" applyFill="1" applyBorder="1" applyAlignment="1">
      <alignment horizontal="center" vertical="center" wrapText="1"/>
    </xf>
    <xf numFmtId="0" fontId="168" fillId="42" borderId="88" xfId="2673" applyFont="1" applyFill="1" applyBorder="1" applyAlignment="1">
      <alignment horizontal="center" vertical="center" wrapText="1"/>
    </xf>
    <xf numFmtId="0" fontId="168" fillId="42" borderId="89" xfId="2673" applyFont="1" applyFill="1" applyBorder="1" applyAlignment="1">
      <alignment horizontal="center" vertical="center" wrapText="1"/>
    </xf>
    <xf numFmtId="43" fontId="151" fillId="43" borderId="7" xfId="2673" applyNumberFormat="1" applyFont="1" applyFill="1" applyBorder="1" applyAlignment="1">
      <alignment horizontal="center" vertical="center" wrapText="1"/>
    </xf>
    <xf numFmtId="0" fontId="151" fillId="43" borderId="58" xfId="2673" applyFont="1" applyFill="1" applyBorder="1" applyAlignment="1">
      <alignment horizontal="center" vertical="center" wrapText="1"/>
    </xf>
    <xf numFmtId="1" fontId="139" fillId="43" borderId="7" xfId="2673" applyNumberFormat="1" applyFont="1" applyFill="1" applyBorder="1" applyAlignment="1">
      <alignment horizontal="center" vertical="center" wrapText="1"/>
    </xf>
    <xf numFmtId="1" fontId="139" fillId="43" borderId="58" xfId="2673" applyNumberFormat="1" applyFont="1" applyFill="1" applyBorder="1" applyAlignment="1">
      <alignment horizontal="center" vertical="center" wrapText="1"/>
    </xf>
    <xf numFmtId="0" fontId="139" fillId="43" borderId="7" xfId="2673" applyFont="1" applyFill="1" applyBorder="1" applyAlignment="1">
      <alignment horizontal="center" vertical="center" wrapText="1"/>
    </xf>
    <xf numFmtId="0" fontId="139" fillId="43" borderId="58" xfId="2673" applyFont="1" applyFill="1" applyBorder="1" applyAlignment="1">
      <alignment horizontal="center" vertical="center" wrapText="1"/>
    </xf>
    <xf numFmtId="1" fontId="151" fillId="0" borderId="50" xfId="2673" applyNumberFormat="1" applyFont="1" applyBorder="1" applyAlignment="1">
      <alignment horizontal="center" vertical="center" wrapText="1"/>
    </xf>
    <xf numFmtId="1" fontId="151" fillId="0" borderId="58" xfId="2673" applyNumberFormat="1" applyFont="1" applyBorder="1" applyAlignment="1">
      <alignment horizontal="center" vertical="center" wrapText="1"/>
    </xf>
    <xf numFmtId="2" fontId="139" fillId="43" borderId="62" xfId="2673" applyNumberFormat="1" applyFont="1" applyFill="1" applyBorder="1" applyAlignment="1">
      <alignment horizontal="center" vertical="center" wrapText="1"/>
    </xf>
    <xf numFmtId="2" fontId="139" fillId="43" borderId="91" xfId="2673" applyNumberFormat="1" applyFont="1" applyFill="1" applyBorder="1" applyAlignment="1">
      <alignment horizontal="center" vertical="center" wrapText="1"/>
    </xf>
    <xf numFmtId="0" fontId="171" fillId="0" borderId="50" xfId="2673" applyFont="1" applyBorder="1" applyAlignment="1">
      <alignment horizontal="center" vertical="center" wrapText="1"/>
    </xf>
    <xf numFmtId="0" fontId="171" fillId="0" borderId="58" xfId="2673" applyFont="1" applyBorder="1" applyAlignment="1">
      <alignment horizontal="center" vertical="center" wrapText="1"/>
    </xf>
    <xf numFmtId="0" fontId="171" fillId="44" borderId="3" xfId="2673" applyFont="1" applyFill="1" applyBorder="1" applyAlignment="1">
      <alignment horizontal="center" vertical="center" wrapText="1"/>
    </xf>
    <xf numFmtId="0" fontId="171" fillId="44" borderId="39" xfId="2673" applyFont="1" applyFill="1" applyBorder="1" applyAlignment="1">
      <alignment horizontal="center" vertical="center" wrapText="1"/>
    </xf>
    <xf numFmtId="1" fontId="139" fillId="0" borderId="3" xfId="2673" applyNumberFormat="1" applyFont="1" applyBorder="1" applyAlignment="1">
      <alignment horizontal="center" vertical="center" wrapText="1"/>
    </xf>
    <xf numFmtId="1" fontId="139" fillId="0" borderId="39" xfId="2673" applyNumberFormat="1" applyFont="1" applyBorder="1" applyAlignment="1">
      <alignment horizontal="center" vertical="center" wrapText="1"/>
    </xf>
    <xf numFmtId="2" fontId="139" fillId="0" borderId="3" xfId="2673" applyNumberFormat="1" applyFont="1" applyBorder="1" applyAlignment="1">
      <alignment horizontal="center" vertical="center" wrapText="1"/>
    </xf>
    <xf numFmtId="2" fontId="139" fillId="0" borderId="39" xfId="2673" applyNumberFormat="1" applyFont="1" applyBorder="1" applyAlignment="1">
      <alignment horizontal="center" vertical="center" wrapText="1"/>
    </xf>
    <xf numFmtId="2" fontId="139" fillId="45" borderId="3" xfId="2673" applyNumberFormat="1" applyFont="1" applyFill="1" applyBorder="1" applyAlignment="1">
      <alignment horizontal="center" vertical="center" wrapText="1"/>
    </xf>
    <xf numFmtId="2" fontId="139" fillId="45" borderId="39" xfId="2673" applyNumberFormat="1" applyFont="1" applyFill="1" applyBorder="1" applyAlignment="1">
      <alignment horizontal="center" vertical="center" wrapText="1"/>
    </xf>
    <xf numFmtId="9" fontId="139" fillId="35" borderId="64" xfId="2675" applyFont="1" applyFill="1" applyBorder="1" applyAlignment="1">
      <alignment horizontal="center" vertical="center" wrapText="1"/>
    </xf>
    <xf numFmtId="9" fontId="139" fillId="35" borderId="65" xfId="2675" applyFont="1" applyFill="1" applyBorder="1" applyAlignment="1">
      <alignment horizontal="center" vertical="center" wrapText="1"/>
    </xf>
    <xf numFmtId="2" fontId="139" fillId="35" borderId="3" xfId="2673" applyNumberFormat="1" applyFont="1" applyFill="1" applyBorder="1" applyAlignment="1">
      <alignment horizontal="center" vertical="center" wrapText="1"/>
    </xf>
    <xf numFmtId="2" fontId="139" fillId="35" borderId="39" xfId="2673" applyNumberFormat="1" applyFont="1" applyFill="1" applyBorder="1" applyAlignment="1">
      <alignment horizontal="center" vertical="center" wrapText="1"/>
    </xf>
    <xf numFmtId="0" fontId="12" fillId="0" borderId="92" xfId="2673" applyBorder="1" applyAlignment="1">
      <alignment horizontal="center" vertical="center" wrapText="1"/>
    </xf>
    <xf numFmtId="0" fontId="12" fillId="0" borderId="6" xfId="2673" applyBorder="1" applyAlignment="1">
      <alignment horizontal="center" vertical="center" wrapText="1"/>
    </xf>
    <xf numFmtId="0" fontId="12" fillId="0" borderId="93" xfId="2673" applyBorder="1" applyAlignment="1">
      <alignment horizontal="center" vertical="center" wrapText="1"/>
    </xf>
    <xf numFmtId="9" fontId="175" fillId="0" borderId="0" xfId="2675" applyFont="1" applyFill="1" applyBorder="1" applyAlignment="1">
      <alignment horizontal="center" vertical="center" wrapText="1"/>
    </xf>
    <xf numFmtId="0" fontId="172" fillId="37" borderId="0" xfId="2673" applyFont="1" applyFill="1" applyAlignment="1">
      <alignment horizontal="left" vertical="center" wrapText="1"/>
    </xf>
    <xf numFmtId="43" fontId="151" fillId="35" borderId="7" xfId="2673" applyNumberFormat="1" applyFont="1" applyFill="1" applyBorder="1" applyAlignment="1">
      <alignment horizontal="center" vertical="center" wrapText="1"/>
    </xf>
    <xf numFmtId="0" fontId="151" fillId="35" borderId="58" xfId="2673" applyFont="1" applyFill="1" applyBorder="1" applyAlignment="1">
      <alignment horizontal="center" vertical="center" wrapText="1"/>
    </xf>
    <xf numFmtId="2" fontId="139" fillId="35" borderId="62" xfId="2673" applyNumberFormat="1" applyFont="1" applyFill="1" applyBorder="1" applyAlignment="1">
      <alignment horizontal="center" vertical="center" wrapText="1"/>
    </xf>
    <xf numFmtId="2" fontId="139" fillId="35" borderId="91" xfId="2673" applyNumberFormat="1" applyFont="1" applyFill="1" applyBorder="1" applyAlignment="1">
      <alignment horizontal="center" vertical="center" wrapText="1"/>
    </xf>
    <xf numFmtId="0" fontId="168" fillId="41" borderId="87" xfId="2673" applyFont="1" applyFill="1" applyBorder="1" applyAlignment="1">
      <alignment horizontal="center" vertical="center" wrapText="1"/>
    </xf>
    <xf numFmtId="0" fontId="168" fillId="41" borderId="88" xfId="2673" applyFont="1" applyFill="1" applyBorder="1" applyAlignment="1">
      <alignment horizontal="center" vertical="center" wrapText="1"/>
    </xf>
    <xf numFmtId="0" fontId="168" fillId="41" borderId="89" xfId="2673" applyFont="1" applyFill="1" applyBorder="1" applyAlignment="1">
      <alignment horizontal="center" vertical="center" wrapText="1"/>
    </xf>
    <xf numFmtId="0" fontId="139" fillId="35" borderId="7" xfId="2673" applyFont="1" applyFill="1" applyBorder="1" applyAlignment="1">
      <alignment horizontal="center" vertical="center" wrapText="1"/>
    </xf>
    <xf numFmtId="0" fontId="139" fillId="35" borderId="58" xfId="2673" applyFont="1" applyFill="1" applyBorder="1" applyAlignment="1">
      <alignment horizontal="center" vertical="center" wrapText="1"/>
    </xf>
    <xf numFmtId="1" fontId="151" fillId="35" borderId="7" xfId="2673" applyNumberFormat="1" applyFont="1" applyFill="1" applyBorder="1" applyAlignment="1">
      <alignment horizontal="center" vertical="center" wrapText="1"/>
    </xf>
    <xf numFmtId="1" fontId="151" fillId="35" borderId="58" xfId="2673" applyNumberFormat="1" applyFont="1" applyFill="1" applyBorder="1" applyAlignment="1">
      <alignment horizontal="center" vertical="center" wrapText="1"/>
    </xf>
    <xf numFmtId="43" fontId="151" fillId="0" borderId="53" xfId="2673" applyNumberFormat="1" applyFont="1" applyBorder="1" applyAlignment="1">
      <alignment horizontal="center" vertical="center" wrapText="1"/>
    </xf>
    <xf numFmtId="0" fontId="151" fillId="0" borderId="54" xfId="2673" applyFont="1" applyBorder="1" applyAlignment="1">
      <alignment horizontal="center" vertical="center" wrapText="1"/>
    </xf>
    <xf numFmtId="43" fontId="151" fillId="0" borderId="142" xfId="2673" applyNumberFormat="1" applyFont="1" applyBorder="1" applyAlignment="1">
      <alignment horizontal="center" vertical="center" wrapText="1"/>
    </xf>
    <xf numFmtId="43" fontId="151" fillId="0" borderId="89" xfId="2673" applyNumberFormat="1" applyFont="1" applyBorder="1" applyAlignment="1">
      <alignment horizontal="center" vertical="center" wrapText="1"/>
    </xf>
    <xf numFmtId="9" fontId="139" fillId="0" borderId="64" xfId="2675" applyFont="1" applyFill="1" applyBorder="1" applyAlignment="1">
      <alignment horizontal="center" vertical="center" wrapText="1"/>
    </xf>
    <xf numFmtId="9" fontId="139" fillId="0" borderId="65" xfId="2675" applyFont="1" applyFill="1" applyBorder="1" applyAlignment="1">
      <alignment horizontal="center" vertical="center" wrapText="1"/>
    </xf>
    <xf numFmtId="1" fontId="151" fillId="0" borderId="3" xfId="2673" applyNumberFormat="1" applyFont="1" applyBorder="1" applyAlignment="1">
      <alignment horizontal="center" vertical="center" wrapText="1"/>
    </xf>
    <xf numFmtId="1" fontId="151" fillId="0" borderId="39" xfId="2673" applyNumberFormat="1" applyFont="1" applyBorder="1" applyAlignment="1">
      <alignment horizontal="center" vertical="center" wrapText="1"/>
    </xf>
    <xf numFmtId="0" fontId="13" fillId="34" borderId="76" xfId="2670" applyFill="1" applyBorder="1" applyAlignment="1">
      <alignment horizontal="center" vertical="center"/>
    </xf>
    <xf numFmtId="0" fontId="143" fillId="0" borderId="77" xfId="2670" applyFont="1" applyBorder="1" applyAlignment="1">
      <alignment horizontal="left" vertical="center"/>
    </xf>
    <xf numFmtId="0" fontId="116" fillId="38" borderId="3" xfId="1538" applyFill="1" applyBorder="1" applyAlignment="1">
      <alignment horizontal="center" vertical="center"/>
    </xf>
    <xf numFmtId="0" fontId="107" fillId="38" borderId="3" xfId="1538" applyFont="1" applyFill="1" applyBorder="1" applyAlignment="1">
      <alignment horizontal="center" vertical="center" wrapText="1"/>
    </xf>
    <xf numFmtId="0" fontId="53" fillId="0" borderId="3" xfId="1538" applyFont="1" applyBorder="1" applyAlignment="1">
      <alignment horizontal="center"/>
    </xf>
    <xf numFmtId="0" fontId="116" fillId="38" borderId="35" xfId="1538" applyFill="1" applyBorder="1" applyAlignment="1">
      <alignment horizontal="center" vertical="center" wrapText="1"/>
    </xf>
    <xf numFmtId="0" fontId="116" fillId="38" borderId="33" xfId="1538" applyFill="1" applyBorder="1" applyAlignment="1">
      <alignment horizontal="center" vertical="center" wrapText="1"/>
    </xf>
    <xf numFmtId="0" fontId="116" fillId="38" borderId="3" xfId="1538" applyFill="1" applyBorder="1" applyAlignment="1">
      <alignment horizontal="center" vertical="center" wrapText="1"/>
    </xf>
    <xf numFmtId="0" fontId="56" fillId="0" borderId="44" xfId="1538" applyFont="1" applyBorder="1" applyAlignment="1">
      <alignment horizontal="left"/>
    </xf>
    <xf numFmtId="0" fontId="155" fillId="0" borderId="0" xfId="1644" applyFont="1" applyAlignment="1">
      <alignment horizontal="center" vertical="center"/>
    </xf>
    <xf numFmtId="37" fontId="162" fillId="0" borderId="19" xfId="1614" applyNumberFormat="1" applyFont="1" applyBorder="1" applyAlignment="1">
      <alignment horizontal="center"/>
    </xf>
    <xf numFmtId="0" fontId="158" fillId="0" borderId="0" xfId="1614" applyFont="1" applyAlignment="1">
      <alignment horizontal="left" vertical="top" wrapText="1"/>
    </xf>
    <xf numFmtId="37" fontId="156" fillId="0" borderId="0" xfId="1614" applyNumberFormat="1" applyFont="1" applyAlignment="1">
      <alignment horizontal="center"/>
    </xf>
    <xf numFmtId="0" fontId="177" fillId="0" borderId="26" xfId="1614" applyFont="1" applyBorder="1" applyAlignment="1">
      <alignment horizontal="left" vertical="center" wrapText="1"/>
    </xf>
    <xf numFmtId="0" fontId="177" fillId="0" borderId="36" xfId="1614" applyFont="1" applyBorder="1" applyAlignment="1">
      <alignment horizontal="left" vertical="center" wrapText="1"/>
    </xf>
    <xf numFmtId="0" fontId="177" fillId="0" borderId="48" xfId="1614" applyFont="1" applyBorder="1" applyAlignment="1">
      <alignment horizontal="left" vertical="center" wrapText="1"/>
    </xf>
    <xf numFmtId="0" fontId="177" fillId="0" borderId="28" xfId="1614" applyFont="1" applyBorder="1" applyAlignment="1">
      <alignment horizontal="left" vertical="center" wrapText="1"/>
    </xf>
    <xf numFmtId="0" fontId="177" fillId="0" borderId="0" xfId="1614" applyFont="1" applyAlignment="1">
      <alignment horizontal="left" vertical="center" wrapText="1"/>
    </xf>
    <xf numFmtId="0" fontId="177" fillId="0" borderId="37" xfId="1614" applyFont="1" applyBorder="1" applyAlignment="1">
      <alignment horizontal="left" vertical="center" wrapText="1"/>
    </xf>
    <xf numFmtId="0" fontId="161" fillId="0" borderId="0" xfId="1652" applyFont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0" fontId="160" fillId="35" borderId="53" xfId="1614" applyFont="1" applyFill="1" applyBorder="1" applyAlignment="1">
      <alignment horizontal="center" vertical="center"/>
    </xf>
    <xf numFmtId="0" fontId="160" fillId="35" borderId="54" xfId="1614" applyFont="1" applyFill="1" applyBorder="1" applyAlignment="1">
      <alignment horizontal="center" vertical="center"/>
    </xf>
    <xf numFmtId="0" fontId="160" fillId="35" borderId="35" xfId="1652" applyFont="1" applyFill="1" applyBorder="1" applyAlignment="1">
      <alignment horizontal="center" vertical="center" wrapText="1"/>
    </xf>
    <xf numFmtId="0" fontId="160" fillId="35" borderId="33" xfId="1652" applyFont="1" applyFill="1" applyBorder="1" applyAlignment="1">
      <alignment horizontal="center" vertical="center" wrapText="1"/>
    </xf>
    <xf numFmtId="0" fontId="160" fillId="35" borderId="3" xfId="1614" applyFont="1" applyFill="1" applyBorder="1" applyAlignment="1">
      <alignment horizontal="center" vertical="center"/>
    </xf>
    <xf numFmtId="0" fontId="160" fillId="35" borderId="39" xfId="1614" applyFont="1" applyFill="1" applyBorder="1" applyAlignment="1">
      <alignment horizontal="center" vertical="center"/>
    </xf>
    <xf numFmtId="0" fontId="158" fillId="30" borderId="3" xfId="1614" applyFont="1" applyFill="1" applyBorder="1" applyAlignment="1">
      <alignment horizontal="center" vertical="center"/>
    </xf>
    <xf numFmtId="0" fontId="159" fillId="0" borderId="0" xfId="1652" applyFont="1" applyAlignment="1">
      <alignment horizontal="center" vertical="center"/>
    </xf>
    <xf numFmtId="37" fontId="156" fillId="0" borderId="36" xfId="1614" applyNumberFormat="1" applyFont="1" applyBorder="1" applyAlignment="1">
      <alignment horizontal="center"/>
    </xf>
    <xf numFmtId="0" fontId="160" fillId="35" borderId="51" xfId="1614" applyFont="1" applyFill="1" applyBorder="1" applyAlignment="1">
      <alignment horizontal="center" vertical="center"/>
    </xf>
    <xf numFmtId="0" fontId="160" fillId="35" borderId="49" xfId="1614" applyFont="1" applyFill="1" applyBorder="1" applyAlignment="1">
      <alignment horizontal="center" vertical="center"/>
    </xf>
    <xf numFmtId="0" fontId="160" fillId="35" borderId="52" xfId="1614" applyFont="1" applyFill="1" applyBorder="1" applyAlignment="1">
      <alignment horizontal="center" vertical="center"/>
    </xf>
    <xf numFmtId="0" fontId="160" fillId="35" borderId="21" xfId="1614" applyFont="1" applyFill="1" applyBorder="1" applyAlignment="1">
      <alignment horizontal="center" vertical="center"/>
    </xf>
    <xf numFmtId="0" fontId="160" fillId="35" borderId="33" xfId="1614" applyFont="1" applyFill="1" applyBorder="1" applyAlignment="1">
      <alignment horizontal="center" vertical="center"/>
    </xf>
    <xf numFmtId="0" fontId="160" fillId="35" borderId="52" xfId="1614" applyFont="1" applyFill="1" applyBorder="1" applyAlignment="1">
      <alignment horizontal="center" vertical="center" wrapText="1"/>
    </xf>
    <xf numFmtId="0" fontId="160" fillId="35" borderId="21" xfId="1614" applyFont="1" applyFill="1" applyBorder="1" applyAlignment="1">
      <alignment horizontal="center" vertical="center" wrapText="1"/>
    </xf>
    <xf numFmtId="0" fontId="160" fillId="35" borderId="33" xfId="1614" applyFont="1" applyFill="1" applyBorder="1" applyAlignment="1">
      <alignment horizontal="center" vertical="center" wrapText="1"/>
    </xf>
    <xf numFmtId="0" fontId="119" fillId="33" borderId="7" xfId="0" applyFont="1" applyFill="1" applyBorder="1" applyAlignment="1">
      <alignment horizontal="center"/>
    </xf>
    <xf numFmtId="0" fontId="119" fillId="33" borderId="41" xfId="0" applyFont="1" applyFill="1" applyBorder="1" applyAlignment="1">
      <alignment horizontal="center"/>
    </xf>
    <xf numFmtId="0" fontId="119" fillId="33" borderId="64" xfId="0" applyFont="1" applyFill="1" applyBorder="1" applyAlignment="1">
      <alignment horizontal="center"/>
    </xf>
    <xf numFmtId="0" fontId="119" fillId="33" borderId="3" xfId="0" applyFont="1" applyFill="1" applyBorder="1" applyAlignment="1">
      <alignment horizontal="center"/>
    </xf>
    <xf numFmtId="0" fontId="119" fillId="33" borderId="39" xfId="0" applyFont="1" applyFill="1" applyBorder="1" applyAlignment="1">
      <alignment horizontal="center"/>
    </xf>
    <xf numFmtId="0" fontId="119" fillId="33" borderId="62" xfId="0" applyFont="1" applyFill="1" applyBorder="1" applyAlignment="1">
      <alignment horizontal="center"/>
    </xf>
    <xf numFmtId="0" fontId="119" fillId="33" borderId="63" xfId="0" applyFont="1" applyFill="1" applyBorder="1" applyAlignment="1">
      <alignment horizontal="center"/>
    </xf>
    <xf numFmtId="0" fontId="119" fillId="33" borderId="65" xfId="0" applyFont="1" applyFill="1" applyBorder="1" applyAlignment="1">
      <alignment horizontal="center"/>
    </xf>
    <xf numFmtId="0" fontId="119" fillId="33" borderId="56" xfId="0" applyFont="1" applyFill="1" applyBorder="1" applyAlignment="1">
      <alignment horizontal="center" vertical="center"/>
    </xf>
    <xf numFmtId="0" fontId="119" fillId="33" borderId="57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 vertical="center" wrapText="1"/>
    </xf>
    <xf numFmtId="0" fontId="119" fillId="33" borderId="37" xfId="0" applyFont="1" applyFill="1" applyBorder="1" applyAlignment="1">
      <alignment horizontal="center" vertical="center" wrapText="1"/>
    </xf>
    <xf numFmtId="0" fontId="119" fillId="33" borderId="44" xfId="0" applyFont="1" applyFill="1" applyBorder="1" applyAlignment="1">
      <alignment horizontal="center" vertical="center" wrapText="1"/>
    </xf>
    <xf numFmtId="0" fontId="119" fillId="33" borderId="45" xfId="0" applyFont="1" applyFill="1" applyBorder="1" applyAlignment="1">
      <alignment horizontal="center" vertical="center" wrapText="1"/>
    </xf>
    <xf numFmtId="15" fontId="119" fillId="33" borderId="3" xfId="0" applyNumberFormat="1" applyFont="1" applyFill="1" applyBorder="1" applyAlignment="1">
      <alignment horizontal="center"/>
    </xf>
    <xf numFmtId="0" fontId="96" fillId="33" borderId="59" xfId="0" applyFont="1" applyFill="1" applyBorder="1" applyAlignment="1">
      <alignment horizontal="left" vertical="center"/>
    </xf>
    <xf numFmtId="0" fontId="96" fillId="33" borderId="40" xfId="0" applyFont="1" applyFill="1" applyBorder="1" applyAlignment="1">
      <alignment horizontal="left" vertical="center"/>
    </xf>
    <xf numFmtId="0" fontId="124" fillId="33" borderId="74" xfId="0" applyFont="1" applyFill="1" applyBorder="1" applyAlignment="1">
      <alignment horizontal="center" vertical="center" wrapText="1"/>
    </xf>
    <xf numFmtId="0" fontId="124" fillId="33" borderId="75" xfId="0" applyFont="1" applyFill="1" applyBorder="1" applyAlignment="1">
      <alignment horizontal="center" vertical="center" wrapText="1"/>
    </xf>
    <xf numFmtId="0" fontId="119" fillId="33" borderId="7" xfId="0" applyFont="1" applyFill="1" applyBorder="1" applyAlignment="1">
      <alignment horizontal="center" vertical="top" wrapText="1"/>
    </xf>
    <xf numFmtId="0" fontId="119" fillId="33" borderId="41" xfId="0" applyFont="1" applyFill="1" applyBorder="1" applyAlignment="1">
      <alignment horizontal="center" vertical="top" wrapText="1"/>
    </xf>
    <xf numFmtId="0" fontId="120" fillId="33" borderId="18" xfId="0" applyFont="1" applyFill="1" applyBorder="1" applyAlignment="1">
      <alignment horizontal="left" vertical="top" wrapText="1"/>
    </xf>
    <xf numFmtId="0" fontId="120" fillId="33" borderId="0" xfId="0" applyFont="1" applyFill="1" applyAlignment="1">
      <alignment horizontal="left" vertical="top" wrapText="1"/>
    </xf>
    <xf numFmtId="0" fontId="96" fillId="0" borderId="60" xfId="1450" applyFont="1" applyBorder="1" applyAlignment="1">
      <alignment horizontal="left" vertical="center"/>
    </xf>
    <xf numFmtId="0" fontId="96" fillId="0" borderId="61" xfId="1450" applyFont="1" applyBorder="1" applyAlignment="1">
      <alignment horizontal="left" vertical="center"/>
    </xf>
    <xf numFmtId="49" fontId="119" fillId="33" borderId="3" xfId="0" applyNumberFormat="1" applyFont="1" applyFill="1" applyBorder="1" applyAlignment="1">
      <alignment horizontal="center" vertical="center"/>
    </xf>
    <xf numFmtId="0" fontId="123" fillId="33" borderId="72" xfId="0" applyFont="1" applyFill="1" applyBorder="1" applyAlignment="1">
      <alignment horizontal="left" vertical="center"/>
    </xf>
    <xf numFmtId="0" fontId="123" fillId="33" borderId="73" xfId="0" applyFont="1" applyFill="1" applyBorder="1" applyAlignment="1">
      <alignment horizontal="left" vertical="center"/>
    </xf>
    <xf numFmtId="49" fontId="119" fillId="33" borderId="3" xfId="0" applyNumberFormat="1" applyFont="1" applyFill="1" applyBorder="1" applyAlignment="1">
      <alignment horizontal="center" vertical="top" wrapText="1"/>
    </xf>
    <xf numFmtId="49" fontId="119" fillId="33" borderId="50" xfId="0" applyNumberFormat="1" applyFont="1" applyFill="1" applyBorder="1" applyAlignment="1">
      <alignment horizontal="center" vertical="top" wrapText="1"/>
    </xf>
    <xf numFmtId="49" fontId="119" fillId="33" borderId="41" xfId="0" applyNumberFormat="1" applyFont="1" applyFill="1" applyBorder="1" applyAlignment="1">
      <alignment horizontal="center" vertical="top" wrapText="1"/>
    </xf>
    <xf numFmtId="0" fontId="96" fillId="0" borderId="97" xfId="1450" applyFont="1" applyBorder="1" applyAlignment="1">
      <alignment horizontal="left" vertical="center"/>
    </xf>
    <xf numFmtId="0" fontId="96" fillId="0" borderId="98" xfId="1450" applyFont="1" applyBorder="1" applyAlignment="1">
      <alignment horizontal="left" vertical="center"/>
    </xf>
    <xf numFmtId="0" fontId="120" fillId="33" borderId="18" xfId="0" applyFont="1" applyFill="1" applyBorder="1" applyAlignment="1">
      <alignment horizontal="left"/>
    </xf>
    <xf numFmtId="0" fontId="120" fillId="33" borderId="0" xfId="0" applyFont="1" applyFill="1" applyAlignment="1">
      <alignment horizontal="left"/>
    </xf>
    <xf numFmtId="0" fontId="120" fillId="33" borderId="37" xfId="0" applyFont="1" applyFill="1" applyBorder="1" applyAlignment="1">
      <alignment horizontal="left"/>
    </xf>
    <xf numFmtId="0" fontId="136" fillId="33" borderId="50" xfId="0" applyFont="1" applyFill="1" applyBorder="1" applyAlignment="1">
      <alignment horizontal="center" vertical="center"/>
    </xf>
    <xf numFmtId="0" fontId="136" fillId="33" borderId="7" xfId="0" applyFont="1" applyFill="1" applyBorder="1" applyAlignment="1">
      <alignment horizontal="center" vertical="center"/>
    </xf>
    <xf numFmtId="0" fontId="136" fillId="33" borderId="41" xfId="0" applyFont="1" applyFill="1" applyBorder="1" applyAlignment="1">
      <alignment horizontal="center" vertical="center"/>
    </xf>
    <xf numFmtId="0" fontId="120" fillId="33" borderId="50" xfId="0" applyFont="1" applyFill="1" applyBorder="1" applyAlignment="1">
      <alignment horizontal="center" vertical="center"/>
    </xf>
    <xf numFmtId="0" fontId="120" fillId="33" borderId="7" xfId="0" applyFont="1" applyFill="1" applyBorder="1" applyAlignment="1">
      <alignment horizontal="center" vertical="center"/>
    </xf>
    <xf numFmtId="0" fontId="120" fillId="33" borderId="58" xfId="0" applyFont="1" applyFill="1" applyBorder="1" applyAlignment="1">
      <alignment horizontal="center" vertical="center"/>
    </xf>
    <xf numFmtId="49" fontId="137" fillId="33" borderId="59" xfId="0" applyNumberFormat="1" applyFont="1" applyFill="1" applyBorder="1" applyAlignment="1">
      <alignment horizontal="left" vertical="center"/>
    </xf>
    <xf numFmtId="49" fontId="137" fillId="33" borderId="40" xfId="0" applyNumberFormat="1" applyFont="1" applyFill="1" applyBorder="1" applyAlignment="1">
      <alignment horizontal="left" vertical="center"/>
    </xf>
    <xf numFmtId="49" fontId="119" fillId="33" borderId="50" xfId="0" applyNumberFormat="1" applyFont="1" applyFill="1" applyBorder="1" applyAlignment="1">
      <alignment horizontal="left" vertical="center"/>
    </xf>
    <xf numFmtId="49" fontId="119" fillId="33" borderId="41" xfId="0" applyNumberFormat="1" applyFont="1" applyFill="1" applyBorder="1" applyAlignment="1">
      <alignment horizontal="left" vertical="center"/>
    </xf>
    <xf numFmtId="49" fontId="119" fillId="33" borderId="50" xfId="0" applyNumberFormat="1" applyFont="1" applyFill="1" applyBorder="1" applyAlignment="1">
      <alignment horizontal="center" vertical="center"/>
    </xf>
    <xf numFmtId="49" fontId="119" fillId="33" borderId="41" xfId="0" applyNumberFormat="1" applyFont="1" applyFill="1" applyBorder="1" applyAlignment="1">
      <alignment horizontal="center" vertical="center"/>
    </xf>
    <xf numFmtId="0" fontId="137" fillId="33" borderId="60" xfId="0" applyFont="1" applyFill="1" applyBorder="1" applyAlignment="1">
      <alignment horizontal="left" vertical="center"/>
    </xf>
    <xf numFmtId="0" fontId="137" fillId="33" borderId="61" xfId="0" applyFont="1" applyFill="1" applyBorder="1" applyAlignment="1">
      <alignment horizontal="left" vertical="center"/>
    </xf>
    <xf numFmtId="0" fontId="119" fillId="33" borderId="56" xfId="0" applyFont="1" applyFill="1" applyBorder="1" applyAlignment="1">
      <alignment horizontal="center"/>
    </xf>
    <xf numFmtId="0" fontId="119" fillId="33" borderId="57" xfId="0" applyFont="1" applyFill="1" applyBorder="1" applyAlignment="1">
      <alignment horizontal="center"/>
    </xf>
    <xf numFmtId="0" fontId="135" fillId="35" borderId="55" xfId="0" applyFont="1" applyFill="1" applyBorder="1" applyAlignment="1">
      <alignment horizontal="center" vertical="center"/>
    </xf>
    <xf numFmtId="0" fontId="135" fillId="35" borderId="36" xfId="0" applyFont="1" applyFill="1" applyBorder="1" applyAlignment="1">
      <alignment horizontal="center" vertical="center"/>
    </xf>
    <xf numFmtId="0" fontId="135" fillId="35" borderId="48" xfId="0" applyFont="1" applyFill="1" applyBorder="1" applyAlignment="1">
      <alignment horizontal="center" vertical="center"/>
    </xf>
    <xf numFmtId="0" fontId="135" fillId="35" borderId="43" xfId="0" applyFont="1" applyFill="1" applyBorder="1" applyAlignment="1">
      <alignment horizontal="center" vertical="center"/>
    </xf>
    <xf numFmtId="0" fontId="135" fillId="35" borderId="44" xfId="0" applyFont="1" applyFill="1" applyBorder="1" applyAlignment="1">
      <alignment horizontal="center" vertical="center"/>
    </xf>
    <xf numFmtId="0" fontId="135" fillId="35" borderId="45" xfId="0" applyFont="1" applyFill="1" applyBorder="1" applyAlignment="1">
      <alignment horizontal="center" vertical="center"/>
    </xf>
    <xf numFmtId="0" fontId="127" fillId="35" borderId="26" xfId="1451" applyFont="1" applyFill="1" applyBorder="1" applyAlignment="1">
      <alignment horizontal="center" vertical="center"/>
    </xf>
    <xf numFmtId="0" fontId="127" fillId="35" borderId="36" xfId="1451" applyFont="1" applyFill="1" applyBorder="1" applyAlignment="1">
      <alignment horizontal="center" vertical="center"/>
    </xf>
    <xf numFmtId="0" fontId="127" fillId="35" borderId="48" xfId="1451" applyFont="1" applyFill="1" applyBorder="1" applyAlignment="1">
      <alignment horizontal="center" vertical="center"/>
    </xf>
    <xf numFmtId="0" fontId="127" fillId="35" borderId="28" xfId="1451" applyFont="1" applyFill="1" applyBorder="1" applyAlignment="1">
      <alignment horizontal="center" vertical="center"/>
    </xf>
    <xf numFmtId="0" fontId="127" fillId="35" borderId="0" xfId="1451" applyFont="1" applyFill="1" applyAlignment="1">
      <alignment horizontal="center" vertical="center"/>
    </xf>
    <xf numFmtId="0" fontId="127" fillId="35" borderId="37" xfId="1451" applyFont="1" applyFill="1" applyBorder="1" applyAlignment="1">
      <alignment horizontal="center" vertical="center"/>
    </xf>
    <xf numFmtId="0" fontId="127" fillId="35" borderId="34" xfId="1451" applyFont="1" applyFill="1" applyBorder="1" applyAlignment="1">
      <alignment horizontal="center" vertical="center"/>
    </xf>
    <xf numFmtId="0" fontId="127" fillId="35" borderId="19" xfId="1451" applyFont="1" applyFill="1" applyBorder="1" applyAlignment="1">
      <alignment horizontal="center" vertical="center"/>
    </xf>
    <xf numFmtId="0" fontId="127" fillId="35" borderId="31" xfId="1451" applyFont="1" applyFill="1" applyBorder="1" applyAlignment="1">
      <alignment horizontal="center" vertical="center"/>
    </xf>
    <xf numFmtId="0" fontId="165" fillId="0" borderId="0" xfId="1451" quotePrefix="1" applyFont="1" applyAlignment="1">
      <alignment horizontal="left"/>
    </xf>
    <xf numFmtId="0" fontId="165" fillId="0" borderId="0" xfId="1451" applyFont="1" applyAlignment="1">
      <alignment horizontal="left"/>
    </xf>
    <xf numFmtId="0" fontId="160" fillId="0" borderId="0" xfId="1652" applyFont="1" applyAlignment="1">
      <alignment horizontal="center"/>
    </xf>
  </cellXfs>
  <cellStyles count="565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0.52999999999999992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0.78981516825140796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3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3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149679</xdr:colOff>
      <xdr:row>16</xdr:row>
      <xdr:rowOff>54429</xdr:rowOff>
    </xdr:from>
    <xdr:to>
      <xdr:col>17</xdr:col>
      <xdr:colOff>444454</xdr:colOff>
      <xdr:row>39</xdr:row>
      <xdr:rowOff>98458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AA8757-B991-6F05-2CC9-F4254BA4C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0" y="2571750"/>
          <a:ext cx="6173061" cy="348663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16</xdr:row>
      <xdr:rowOff>17317</xdr:rowOff>
    </xdr:from>
    <xdr:to>
      <xdr:col>18</xdr:col>
      <xdr:colOff>33059</xdr:colOff>
      <xdr:row>46</xdr:row>
      <xdr:rowOff>133152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ECD85B-FD16-0C56-4242-AC79B47EE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2864" y="2666999"/>
          <a:ext cx="7306695" cy="479174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0" t="s">
        <v>1132</v>
      </c>
      <c r="C4" s="510"/>
      <c r="D4" s="510"/>
      <c r="E4" s="510"/>
      <c r="F4" s="510"/>
      <c r="G4" s="510"/>
      <c r="H4" s="51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1" t="s">
        <v>0</v>
      </c>
      <c r="C7" s="511" t="s">
        <v>1</v>
      </c>
      <c r="D7" s="512" t="s">
        <v>42</v>
      </c>
      <c r="E7" s="512" t="s">
        <v>43</v>
      </c>
      <c r="F7" s="512" t="s">
        <v>1133</v>
      </c>
      <c r="G7" s="513" t="s">
        <v>41</v>
      </c>
      <c r="H7" s="509" t="s">
        <v>1041</v>
      </c>
      <c r="I7" s="509" t="s">
        <v>1135</v>
      </c>
      <c r="J7" s="509" t="s">
        <v>1025</v>
      </c>
      <c r="K7" s="503" t="s">
        <v>1023</v>
      </c>
      <c r="L7" s="504"/>
    </row>
    <row r="8" spans="1:12" ht="15" customHeight="1">
      <c r="B8" s="511"/>
      <c r="C8" s="511"/>
      <c r="D8" s="512"/>
      <c r="E8" s="512"/>
      <c r="F8" s="512"/>
      <c r="G8" s="513"/>
      <c r="H8" s="509"/>
      <c r="I8" s="509"/>
      <c r="J8" s="509"/>
      <c r="K8" s="505"/>
      <c r="L8" s="506"/>
    </row>
    <row r="9" spans="1:12" ht="15" customHeight="1">
      <c r="B9" s="511"/>
      <c r="C9" s="511"/>
      <c r="D9" s="512"/>
      <c r="E9" s="512"/>
      <c r="F9" s="512"/>
      <c r="G9" s="513"/>
      <c r="H9" s="509"/>
      <c r="I9" s="509"/>
      <c r="J9" s="509"/>
      <c r="K9" s="507"/>
      <c r="L9" s="50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1134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40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SUMIFS(RAB!$F$14:$F$96,RAB!$C$14:$C$96,C714)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SUMIFS(RAB!$F$14:$F$96,RAB!$C$14:$C$96,C715)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SUMIFS(RAB!$F$14:$F$96,RAB!$C$14:$C$96,C716)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SUMIFS(RAB!$F$14:$F$96,RAB!$C$14:$C$96,C717)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SUMIFS(RAB!$F$14:$F$96,RAB!$C$14:$C$96,C718)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SUMIFS(RAB!$F$14:$F$96,RAB!$C$14:$C$96,C719)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SUMIFS(RAB!$F$14:$F$96,RAB!$C$14:$C$96,C720)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SUMIFS(RAB!$F$14:$F$96,RAB!$C$14:$C$96,C721)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SUMIFS(RAB!$F$14:$F$96,RAB!$C$14:$C$96,C722)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SUMIFS(RAB!$F$14:$F$96,RAB!$C$14:$C$96,C723)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SUMIFS(RAB!$F$14:$F$96,RAB!$C$14:$C$96,C724)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SUMIFS(RAB!$F$14:$F$96,RAB!$C$14:$C$96,C725)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SUMIFS(RAB!$F$14:$F$96,RAB!$C$14:$C$96,C726)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SUMIFS(RAB!$F$14:$F$96,RAB!$C$14:$C$96,C727)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SUMIFS(RAB!$F$14:$F$96,RAB!$C$14:$C$96,C728)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SUMIFS(RAB!$F$14:$F$96,RAB!$C$14:$C$96,C729)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SUMIFS(RAB!$F$14:$F$96,RAB!$C$14:$C$96,C730)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SUMIFS(RAB!$F$14:$F$96,RAB!$C$14:$C$96,C731)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SUMIFS(RAB!$F$14:$F$96,RAB!$C$14:$C$96,C732)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SUMIFS(RAB!$F$14:$F$96,RAB!$C$14:$C$96,C733)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SUMIFS(RAB!$F$14:$F$96,RAB!$C$14:$C$96,C734)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SUMIFS(RAB!$F$14:$F$96,RAB!$C$14:$C$96,C735)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SUMIFS(RAB!$F$14:$F$96,RAB!$C$14:$C$96,C736)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SUMIFS(RAB!$F$14:$F$96,RAB!$C$14:$C$96,C737)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SUMIFS(RAB!$F$14:$F$96,RAB!$C$14:$C$96,C738)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SUMIFS(RAB!$F$14:$F$96,RAB!$C$14:$C$96,C739)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SUMIFS(RAB!$F$14:$F$96,RAB!$C$14:$C$96,C740)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SUMIFS(RAB!$F$14:$F$96,RAB!$C$14:$C$96,C741)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SUMIFS(RAB!$F$14:$F$96,RAB!$C$14:$C$96,C742)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SUMIFS(RAB!$F$14:$F$96,RAB!$C$14:$C$96,C743)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SUMIFS(RAB!$F$14:$F$96,RAB!$C$14:$C$96,C744)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SUMIFS(RAB!$F$14:$F$96,RAB!$C$14:$C$96,C745)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SUMIFS(RAB!$F$14:$F$96,RAB!$C$14:$C$96,C746)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SUMIFS(RAB!$F$14:$F$96,RAB!$C$14:$C$96,C747)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SUMIFS(RAB!$F$14:$F$96,RAB!$C$14:$C$96,C748)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SUMIFS(RAB!$F$14:$F$96,RAB!$C$14:$C$96,C749)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SUMIFS(RAB!$F$14:$F$96,RAB!$C$14:$C$96,C750)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SUMIFS(RAB!$F$14:$F$96,RAB!$C$14:$C$96,C751)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SUMIFS(RAB!$F$14:$F$96,RAB!$C$14:$C$96,C752)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SUMIFS(RAB!$F$14:$F$96,RAB!$C$14:$C$96,C753)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SUMIFS(RAB!$F$14:$F$96,RAB!$C$14:$C$96,C754)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SUMIFS(RAB!$F$14:$F$96,RAB!$C$14:$C$96,C755)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SUMIFS(RAB!$F$14:$F$96,RAB!$C$14:$C$96,C756)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SUMIFS(RAB!$F$14:$F$96,RAB!$C$14:$C$96,C757)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SUMIFS(RAB!$F$14:$F$96,RAB!$C$14:$C$96,C758)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SUMIFS(RAB!$F$14:$F$96,RAB!$C$14:$C$96,C759)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SUMIFS(RAB!$F$14:$F$96,RAB!$C$14:$C$96,C760)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SUMIFS(RAB!$F$14:$F$96,RAB!$C$14:$C$96,C761)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SUMIFS(RAB!$F$14:$F$96,RAB!$C$14:$C$96,C762)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SUMIFS(RAB!$F$14:$F$96,RAB!$C$14:$C$96,C763)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SUMIFS(RAB!$F$14:$F$96,RAB!$C$14:$C$96,C764)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SUMIFS(RAB!$F$14:$F$96,RAB!$C$14:$C$96,C765)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SUMIFS(RAB!$F$14:$F$96,RAB!$C$14:$C$96,C766)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SUMIFS(RAB!$F$14:$F$96,RAB!$C$14:$C$96,C767)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SUMIFS(RAB!$F$14:$F$96,RAB!$C$14:$C$96,C768)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SUMIFS(RAB!$F$14:$F$96,RAB!$C$14:$C$96,C769)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SUMIFS(RAB!$F$14:$F$96,RAB!$C$14:$C$96,C770)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SUMIFS(RAB!$F$14:$F$96,RAB!$C$14:$C$96,C771)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SUMIFS(RAB!$F$14:$F$96,RAB!$C$14:$C$96,C772)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SUMIFS(RAB!$F$14:$F$96,RAB!$C$14:$C$96,C773)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SUMIFS(RAB!$F$14:$F$96,RAB!$C$14:$C$96,C774)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SUMIFS(RAB!$F$14:$F$96,RAB!$C$14:$C$96,C775)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SUMIFS(RAB!$F$14:$F$96,RAB!$C$14:$C$96,C776)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SUMIFS(RAB!$F$14:$F$96,RAB!$C$14:$C$96,C777)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SUMIFS(RAB!$F$14:$F$96,RAB!$C$14:$C$96,C778)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SUMIFS(RAB!$F$14:$F$96,RAB!$C$14:$C$96,C779)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SUMIFS(RAB!$F$14:$F$96,RAB!$C$14:$C$96,C780)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SUMIFS(RAB!$F$14:$F$96,RAB!$C$14:$C$96,C781)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SUMIFS(RAB!$F$14:$F$96,RAB!$C$14:$C$96,C782)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SUMIFS(RAB!$F$14:$F$96,RAB!$C$14:$C$96,C783)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SUMIFS(RAB!$F$14:$F$96,RAB!$C$14:$C$96,C784)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SUMIFS(RAB!$F$14:$F$96,RAB!$C$14:$C$96,C785)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SUMIFS(RAB!$F$14:$F$96,RAB!$C$14:$C$96,C786)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SUMIFS(RAB!$F$14:$F$96,RAB!$C$14:$C$96,C787)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SUMIFS(RAB!$F$14:$F$96,RAB!$C$14:$C$96,C788)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SUMIFS(RAB!$F$14:$F$96,RAB!$C$14:$C$96,C789)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SUMIFS(RAB!$F$14:$F$96,RAB!$C$14:$C$96,C790)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SUMIFS(RAB!$F$14:$F$96,RAB!$C$14:$C$96,C791)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SUMIFS(RAB!$F$14:$F$96,RAB!$C$14:$C$96,C792)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SUMIFS(RAB!$F$14:$F$96,RAB!$C$14:$C$96,C793)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SUMIFS(RAB!$F$14:$F$96,RAB!$C$14:$C$96,C794)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SUMIFS(RAB!$F$14:$F$96,RAB!$C$14:$C$96,C795)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SUMIFS(RAB!$F$14:$F$96,RAB!$C$14:$C$96,C796)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SUMIFS(RAB!$F$14:$F$96,RAB!$C$14:$C$96,C797)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SUMIFS(RAB!$F$14:$F$96,RAB!$C$14:$C$96,C798)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SUMIFS(RAB!$F$14:$F$96,RAB!$C$14:$C$96,C799)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SUMIFS(RAB!$F$14:$F$96,RAB!$C$14:$C$96,C800)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SUMIFS(RAB!$F$14:$F$96,RAB!$C$14:$C$96,C801)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SUMIFS(RAB!$F$14:$F$96,RAB!$C$14:$C$96,C802)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SUMIFS(RAB!$F$14:$F$96,RAB!$C$14:$C$96,C803)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SUMIFS(RAB!$F$14:$F$96,RAB!$C$14:$C$96,C804)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SUMIFS(RAB!$F$14:$F$96,RAB!$C$14:$C$96,C805)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SUMIFS(RAB!$F$14:$F$96,RAB!$C$14:$C$96,C806)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SUMIFS(RAB!$F$14:$F$96,RAB!$C$14:$C$96,C807)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SUMIFS(RAB!$F$14:$F$96,RAB!$C$14:$C$96,C808)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SUMIFS(RAB!$F$14:$F$96,RAB!$C$14:$C$96,C809)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SUMIFS(RAB!$F$14:$F$96,RAB!$C$14:$C$96,C810)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SUMIFS(RAB!$F$14:$F$96,RAB!$C$14:$C$96,C811)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SUMIFS(RAB!$F$14:$F$96,RAB!$C$14:$C$96,C812)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MCCB</v>
      </c>
      <c r="D813" s="139">
        <f ca="1">SUMIFS(RAB!$F$14:$F$96,RAB!$C$14:$C$96,C813)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SUMIFS(RAB!$F$14:$F$96,RAB!$C$14:$C$96,C814)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SUMIFS(RAB!$F$14:$F$96,RAB!$C$14:$C$96,C815)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SUMIFS(RAB!$F$14:$F$96,RAB!$C$14:$C$96,C816)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SUMIFS(RAB!$F$14:$F$96,RAB!$C$14:$C$96,C817)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SUMIFS(RAB!$F$14:$F$96,RAB!$C$14:$C$96,C818)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SUMIFS(RAB!$F$14:$F$96,RAB!$C$14:$C$96,C819)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SUMIFS(RAB!$F$14:$F$96,RAB!$C$14:$C$96,C820)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SUMIFS(RAB!$F$14:$F$96,RAB!$C$14:$C$96,C821)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SUMIFS(RAB!$F$14:$F$96,RAB!$C$14:$C$96,C822)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SUMIFS(RAB!$F$14:$F$96,RAB!$C$14:$C$96,C823)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SUMIFS(RAB!$F$14:$F$96,RAB!$C$14:$C$96,C824)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SUMIFS(RAB!$F$14:$F$96,RAB!$C$14:$C$96,C825)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SUMIFS(RAB!$F$14:$F$96,RAB!$C$14:$C$96,C826)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SUMIFS(RAB!$F$14:$F$96,RAB!$C$14:$C$96,C827)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SUMIFS(RAB!$F$14:$F$96,RAB!$C$14:$C$96,C828)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SUMIFS(RAB!$F$14:$F$96,RAB!$C$14:$C$96,C829)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SUMIFS(RAB!$F$14:$F$96,RAB!$C$14:$C$96,C830)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SUMIFS(RAB!$F$14:$F$96,RAB!$C$14:$C$96,C831)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SUMIFS(RAB!$F$14:$F$96,RAB!$C$14:$C$96,C832)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SUMIFS(RAB!$F$14:$F$96,RAB!$C$14:$C$96,C833)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SUMIFS(RAB!$F$14:$F$96,RAB!$C$14:$C$96,C834)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SUMIFS(RAB!$F$14:$F$96,RAB!$C$14:$C$96,C835)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SUMIFS(RAB!$F$14:$F$96,RAB!$C$14:$C$96,C836)</f>
        <v>40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SUMIFS(RAB!$F$14:$F$96,RAB!$C$14:$C$96,C837)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SUMIFS(RAB!$F$14:$F$96,RAB!$C$14:$C$96,C838)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SUMIFS(RAB!$F$14:$F$96,RAB!$C$14:$C$96,C839)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SUMIFS(RAB!$F$14:$F$96,RAB!$C$14:$C$96,C840)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SUMIFS(RAB!$F$14:$F$96,RAB!$C$14:$C$96,C841)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SUMIFS(RAB!$F$14:$F$96,RAB!$C$14:$C$96,C842)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SUMIFS(RAB!$F$14:$F$96,RAB!$C$14:$C$96,C843)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SUMIFS(RAB!$F$14:$F$96,RAB!$C$14:$C$96,C844)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SUMIFS(RAB!$F$14:$F$96,RAB!$C$14:$C$96,C845)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SUMIFS(RAB!$F$14:$F$96,RAB!$C$14:$C$96,C846)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SUMIFS(RAB!$F$14:$F$96,RAB!$C$14:$C$96,C847)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SUMIFS(RAB!$F$14:$F$96,RAB!$C$14:$C$96,C848)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SUMIFS(RAB!$F$14:$F$96,RAB!$C$14:$C$96,C849)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SUMIFS(RAB!$F$14:$F$96,RAB!$C$14:$C$96,C850)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SUMIFS(RAB!$F$14:$F$96,RAB!$C$14:$C$96,C851)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SUMIFS(RAB!$F$14:$F$96,RAB!$C$14:$C$96,C852)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SUMIFS(RAB!$F$14:$F$96,RAB!$C$14:$C$96,C853)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SUMIFS(RAB!$F$14:$F$96,RAB!$C$14:$C$96,C854)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SUMIFS(RAB!$F$14:$F$96,RAB!$C$14:$C$96,C855)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SUMIFS(RAB!$F$14:$F$96,RAB!$C$14:$C$96,C856)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SUMIFS(RAB!$F$14:$F$96,RAB!$C$14:$C$96,C857)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SUMIFS(RAB!$F$14:$F$96,RAB!$C$14:$C$96,C858)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SUMIFS(RAB!$F$14:$F$96,RAB!$C$14:$C$96,C859)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SUMIFS(RAB!$F$14:$F$96,RAB!$C$14:$C$96,C860)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SUMIFS(RAB!$F$14:$F$96,RAB!$C$14:$C$96,C861)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SUMIFS(RAB!$F$14:$F$96,RAB!$C$14:$C$96,C862)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SUMIFS(RAB!$F$14:$F$96,RAB!$C$14:$C$96,C863)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SUMIFS(RAB!$F$14:$F$96,RAB!$C$14:$C$96,C864)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SUMIFS(RAB!$F$14:$F$96,RAB!$C$14:$C$96,C865)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SUMIFS(RAB!$F$14:$F$96,RAB!$C$14:$C$96,C866)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SUMIFS(RAB!$F$14:$F$96,RAB!$C$14:$C$96,C867)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SUMIFS(RAB!$F$14:$F$96,RAB!$C$14:$C$96,C868)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SUMIFS(RAB!$F$14:$F$96,RAB!$C$14:$C$96,C869)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SUMIFS(RAB!$F$14:$F$96,RAB!$C$14:$C$96,C870)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SUMIFS(RAB!$F$14:$F$96,RAB!$C$14:$C$96,C871)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SUMIFS(RAB!$F$14:$F$96,RAB!$C$14:$C$96,C872)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SUMIFS(RAB!$F$14:$F$96,RAB!$C$14:$C$96,C873)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SUMIFS(RAB!$F$14:$F$96,RAB!$C$14:$C$96,C874)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SUMIFS(RAB!$F$14:$F$96,RAB!$C$14:$C$96,C875)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SUMIFS(RAB!$F$14:$F$96,RAB!$C$14:$C$96,C876)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SUMIFS(RAB!$F$14:$F$96,RAB!$C$14:$C$96,C877)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SUMIFS(RAB!$F$14:$F$96,RAB!$C$14:$C$96,C878)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SUMIFS(RAB!$F$14:$F$96,RAB!$C$14:$C$96,C879)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SUMIFS(RAB!$F$14:$F$96,RAB!$C$14:$C$96,C880)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SUMIFS(RAB!$F$14:$F$96,RAB!$C$14:$C$96,C881)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SUMIFS(RAB!$F$14:$F$96,RAB!$C$14:$C$96,C882)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SUMIFS(RAB!$F$14:$F$96,RAB!$C$14:$C$96,C883)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SUMIFS(RAB!$F$14:$F$96,RAB!$C$14:$C$96,C884)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SUMIFS(RAB!$F$14:$F$96,RAB!$C$14:$C$96,C885)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SUMIFS(RAB!$F$14:$F$96,RAB!$C$14:$C$96,C886)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SUMIFS(RAB!$F$14:$F$96,RAB!$C$14:$C$96,C887)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SUMIFS(RAB!$F$14:$F$96,RAB!$C$14:$C$96,C888)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SUMIFS(RAB!$F$14:$F$96,RAB!$C$14:$C$96,C889)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SUMIFS(RAB!$F$14:$F$96,RAB!$C$14:$C$96,C890)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SUMIFS(RAB!$F$14:$F$96,RAB!$C$14:$C$96,C891)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SUMIFS(RAB!$F$14:$F$96,RAB!$C$14:$C$96,C892)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SUMIFS(RAB!$F$14:$F$96,RAB!$C$14:$C$96,C893)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SUMIFS(RAB!$F$14:$F$96,RAB!$C$14:$C$96,C894)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SUMIFS(RAB!$F$14:$F$96,RAB!$C$14:$C$96,C895)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SUMIFS(RAB!$F$14:$F$96,RAB!$C$14:$C$96,C896)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SUMIFS(RAB!$F$14:$F$96,RAB!$C$14:$C$96,C897)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SUMIFS(RAB!$F$14:$F$96,RAB!$C$14:$C$96,C898)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SUMIFS(RAB!$F$14:$F$96,RAB!$C$14:$C$96,C899)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SUMIFS(RAB!$F$14:$F$96,RAB!$C$14:$C$96,C900)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SUMIFS(RAB!$F$14:$F$96,RAB!$C$14:$C$96,C901)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SUMIFS(RAB!$F$14:$F$96,RAB!$C$14:$C$96,C902)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SUMIFS(RAB!$F$14:$F$96,RAB!$C$14:$C$96,C903)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SUMIFS(RAB!$F$14:$F$96,RAB!$C$14:$C$96,C904)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SUMIFS(RAB!$F$14:$F$96,RAB!$C$14:$C$96,C905)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SUMIFS(RAB!$F$14:$F$96,RAB!$C$14:$C$96,C906)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SUMIFS(RAB!$F$14:$F$96,RAB!$C$14:$C$96,C907)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SUMIFS(RAB!$F$14:$F$96,RAB!$C$14:$C$96,C908)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SUMIFS(RAB!$F$14:$F$96,RAB!$C$14:$C$96,C909)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SUMIFS(RAB!$F$14:$F$96,RAB!$C$14:$C$96,C910)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SUMIFS(RAB!$F$14:$F$96,RAB!$C$14:$C$96,C911)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SUMIFS(RAB!$F$14:$F$96,RAB!$C$14:$C$96,C912)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SUMIFS(RAB!$F$14:$F$96,RAB!$C$14:$C$96,C913)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SUMIFS(RAB!$F$14:$F$96,RAB!$C$14:$C$96,C914)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SUMIFS(RAB!$F$14:$F$96,RAB!$C$14:$C$96,C915)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SUMIFS(RAB!$F$14:$F$96,RAB!$C$14:$C$96,C916)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SUMIFS(RAB!$F$14:$F$96,RAB!$C$14:$C$96,C917)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SUMIFS(RAB!$F$14:$F$96,RAB!$C$14:$C$96,C918)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SUMIFS(RAB!$F$14:$F$96,RAB!$C$14:$C$96,C919)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SUMIFS(RAB!$F$14:$F$96,RAB!$C$14:$C$96,C920)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SUMIFS(RAB!$F$14:$F$96,RAB!$C$14:$C$96,C921)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SUMIFS(RAB!$F$14:$F$96,RAB!$C$14:$C$96,C922)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SUMIFS(RAB!$F$14:$F$96,RAB!$C$14:$C$96,C923)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SUMIFS(RAB!$F$14:$F$96,RAB!$C$14:$C$96,C924)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SUMIFS(RAB!$F$14:$F$96,RAB!$C$14:$C$96,C925)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SUMIFS(RAB!$F$14:$F$96,RAB!$C$14:$C$96,C926)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SUMIFS(RAB!$F$14:$F$96,RAB!$C$14:$C$96,C927)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SUMIFS(RAB!$F$14:$F$96,RAB!$C$14:$C$96,C928)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SUMIFS(RAB!$F$14:$F$96,RAB!$C$14:$C$96,C929)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SUMIFS(RAB!$F$14:$F$96,RAB!$C$14:$C$96,C930)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SUMIFS(RAB!$F$14:$F$96,RAB!$C$14:$C$96,C931)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SUMIFS(RAB!$F$14:$F$96,RAB!$C$14:$C$96,C932)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SUMIFS(RAB!$F$14:$F$96,RAB!$C$14:$C$96,C933)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SUMIFS(RAB!$F$14:$F$96,RAB!$C$14:$C$96,C934)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SUMIFS(RAB!$F$14:$F$96,RAB!$C$14:$C$96,C935)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SUMIFS(RAB!$F$14:$F$96,RAB!$C$14:$C$96,C936)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SUMIFS(RAB!$F$14:$F$96,RAB!$C$14:$C$96,C937)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SUMIFS(RAB!$F$14:$F$96,RAB!$C$14:$C$96,C938)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SUMIFS(RAB!$F$14:$F$96,RAB!$C$14:$C$96,C939)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SUMIFS(RAB!$F$14:$F$96,RAB!$C$14:$C$96,C940)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SUMIFS(RAB!$F$14:$F$96,RAB!$C$14:$C$96,C941)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SUMIFS(RAB!$F$14:$F$96,RAB!$C$14:$C$96,C942)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SUMIFS(RAB!$F$14:$F$96,RAB!$C$14:$C$96,C943)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SUMIFS(RAB!$F$14:$F$96,RAB!$C$14:$C$96,C944)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SUMIFS(RAB!$F$14:$F$96,RAB!$C$14:$C$96,C945)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SUMIFS(RAB!$F$14:$F$96,RAB!$C$14:$C$96,C946)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SUMIFS(RAB!$F$14:$F$96,RAB!$C$14:$C$96,C947)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SUMIFS(RAB!$F$14:$F$96,RAB!$C$14:$C$96,C948)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SUMIFS(RAB!$F$14:$F$96,RAB!$C$14:$C$96,C949)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SUMIFS(RAB!$F$14:$F$96,RAB!$C$14:$C$96,C950)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SUMIFS(RAB!$F$14:$F$96,RAB!$C$14:$C$96,C951)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SUMIFS(RAB!$F$14:$F$96,RAB!$C$14:$C$96,C952)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SUMIFS(RAB!$F$14:$F$96,RAB!$C$14:$C$96,C953)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SUMIFS(RAB!$F$14:$F$96,RAB!$C$14:$C$96,C954)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SUMIFS(RAB!$F$14:$F$96,RAB!$C$14:$C$96,C955)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SUMIFS(RAB!$F$14:$F$96,RAB!$C$14:$C$96,C956)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SUMIFS(RAB!$F$14:$F$96,RAB!$C$14:$C$96,C957)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SUMIFS(RAB!$F$14:$F$96,RAB!$C$14:$C$96,C958)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SUMIFS(RAB!$F$14:$F$96,RAB!$C$14:$C$96,C959)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SUMIFS(RAB!$F$14:$F$96,RAB!$C$14:$C$96,C960)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SUMIFS(RAB!$F$14:$F$96,RAB!$C$14:$C$96,C961)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SUMIFS(RAB!$F$14:$F$96,RAB!$C$14:$C$96,C962)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SUMIFS(RAB!$F$14:$F$96,RAB!$C$14:$C$96,C963)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SUMIFS(RAB!$F$14:$F$96,RAB!$C$14:$C$96,C964)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SUMIFS(RAB!$F$14:$F$96,RAB!$C$14:$C$96,C965)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SUMIFS(RAB!$F$14:$F$96,RAB!$C$14:$C$96,C966)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SUMIFS(RAB!$F$14:$F$96,RAB!$C$14:$C$96,C967)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SUMIFS(RAB!$F$14:$F$96,RAB!$C$14:$C$96,C968)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SUMIFS(RAB!$F$14:$F$96,RAB!$C$14:$C$96,C969)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SUMIFS(RAB!$F$14:$F$96,RAB!$C$14:$C$96,C970)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SUMIFS(RAB!$F$14:$F$96,RAB!$C$14:$C$96,C971)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SUMIFS(RAB!$F$14:$F$96,RAB!$C$14:$C$96,C972)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SUMIFS(RAB!$F$14:$F$96,RAB!$C$14:$C$96,C973)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SUMIFS(RAB!$F$14:$F$96,RAB!$C$14:$C$96,C974)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SUMIFS(RAB!$F$14:$F$96,RAB!$C$14:$C$96,C975)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SUMIFS(RAB!$F$14:$F$96,RAB!$C$14:$C$96,C976)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SUMIFS(RAB!$F$14:$F$96,RAB!$C$14:$C$96,C977)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SUMIFS(RAB!$F$14:$F$96,RAB!$C$14:$C$96,C978)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SUMIFS(RAB!$F$14:$F$96,RAB!$C$14:$C$96,C979)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SUMIFS(RAB!$F$14:$F$96,RAB!$C$14:$C$96,C980)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SUMIFS(RAB!$F$14:$F$96,RAB!$C$14:$C$96,C981)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SUMIFS(RAB!$F$14:$F$96,RAB!$C$14:$C$96,C982)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SUMIFS(RAB!$F$14:$F$96,RAB!$C$14:$C$96,C983)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SUMIFS(RAB!$F$14:$F$96,RAB!$C$14:$C$96,C984)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SUMIFS(RAB!$F$14:$F$96,RAB!$C$14:$C$96,C985)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SUMIFS(RAB!$F$14:$F$96,RAB!$C$14:$C$96,C986)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SUMIFS(RAB!$F$14:$F$96,RAB!$C$14:$C$96,C987)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SUMIFS(RAB!$F$14:$F$96,RAB!$C$14:$C$96,C988)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SUMIFS(RAB!$F$14:$F$96,RAB!$C$14:$C$96,C989)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SUMIFS(RAB!$F$14:$F$96,RAB!$C$14:$C$96,C990)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SUMIFS(RAB!$F$14:$F$96,RAB!$C$14:$C$96,C991)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SUMIFS(RAB!$F$14:$F$96,RAB!$C$14:$C$96,C992)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SUMIFS(RAB!$F$14:$F$96,RAB!$C$14:$C$96,C993)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SUMIFS(RAB!$F$14:$F$96,RAB!$C$14:$C$96,C994)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SUMIFS(RAB!$F$14:$F$96,RAB!$C$14:$C$96,C995)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SUMIFS(RAB!$F$14:$F$96,RAB!$C$14:$C$96,C996)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SUMIFS(RAB!$F$14:$F$96,RAB!$C$14:$C$96,C997)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SUMIFS(RAB!$F$14:$F$96,RAB!$C$14:$C$96,C998)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SUMIFS(RAB!$F$14:$F$96,RAB!$C$14:$C$96,C999)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SUMIFS(RAB!$F$14:$F$96,RAB!$C$14:$C$96,C1000)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SUMIFS(RAB!$F$14:$F$96,RAB!$C$14:$C$96,C1001)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SUMIFS(RAB!$F$14:$F$96,RAB!$C$14:$C$96,C1002)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SUMIFS(RAB!$F$14:$F$96,RAB!$C$14:$C$96,C1003)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SUMIFS(RAB!$F$14:$F$96,RAB!$C$14:$C$96,C1004)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SUMIFS(RAB!$F$14:$F$96,RAB!$C$14:$C$96,C1005)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SUMIFS(RAB!$F$14:$F$96,RAB!$C$14:$C$96,C1006)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SUMIFS(RAB!$F$14:$F$96,RAB!$C$14:$C$96,C1007)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SUMIFS(RAB!$F$14:$F$96,RAB!$C$14:$C$96,C1008)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SUMIFS(RAB!$F$14:$F$96,RAB!$C$14:$C$96,C1009)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SUMIFS(RAB!$F$14:$F$96,RAB!$C$14:$C$96,C1010)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SUMIFS(RAB!$F$14:$F$96,RAB!$C$14:$C$96,C1011)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SUMIFS(RAB!$F$14:$F$96,RAB!$C$14:$C$96,C1012)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SUMIFS(RAB!$F$14:$F$96,RAB!$C$14:$C$96,C1013)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SUMIFS(RAB!$F$14:$F$96,RAB!$C$14:$C$96,C1014)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SUMIFS(RAB!$F$14:$F$96,RAB!$C$14:$C$96,C1015)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SUMIFS(RAB!$F$14:$F$96,RAB!$C$14:$C$96,C1016)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SUMIFS(RAB!$F$14:$F$96,RAB!$C$14:$C$96,C1017)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SUMIFS(RAB!$F$14:$F$96,RAB!$C$14:$C$96,C1018)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SUMIFS(RAB!$F$14:$F$96,RAB!$C$14:$C$96,C1019)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SUMIFS(RAB!$F$14:$F$96,RAB!$C$14:$C$96,C1020)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SUMIFS(RAB!$F$14:$F$96,RAB!$C$14:$C$96,C1021)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SUMIFS(RAB!$F$14:$F$96,RAB!$C$14:$C$96,C1022)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SUMIFS(RAB!$F$14:$F$96,RAB!$C$14:$C$96,C1023)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SUMIFS(RAB!$F$14:$F$96,RAB!$C$14:$C$96,C1024)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SUMIFS(RAB!$F$14:$F$96,RAB!$C$14:$C$96,C1025)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SUMIFS(RAB!$F$14:$F$96,RAB!$C$14:$C$96,C1026)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SUMIFS(RAB!$F$14:$F$96,RAB!$C$14:$C$96,C1027)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SUMIFS(RAB!$F$14:$F$96,RAB!$C$14:$C$96,C1028)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SUMIFS(RAB!$F$14:$F$96,RAB!$C$14:$C$96,C1029)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SUMIFS(RAB!$F$14:$F$96,RAB!$C$14:$C$96,C1030)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SUMIFS(RAB!$F$14:$F$96,RAB!$C$14:$C$96,C1031)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SUMIFS(RAB!$F$14:$F$96,RAB!$C$14:$C$96,C1032)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SUMIFS(RAB!$F$14:$F$96,RAB!$C$14:$C$96,C1033)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SUMIFS(RAB!$F$14:$F$96,RAB!$C$14:$C$96,C1034)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SUMIFS(RAB!$F$14:$F$96,RAB!$C$14:$C$96,C1035)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SUMIFS(RAB!$F$14:$F$96,RAB!$C$14:$C$96,C1036)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SUMIFS(RAB!$F$14:$F$96,RAB!$C$14:$C$96,C1037)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SUMIFS(RAB!$F$14:$F$96,RAB!$C$14:$C$96,C1038)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SUMIFS(RAB!$F$14:$F$96,RAB!$C$14:$C$96,C1039)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SUMIFS(RAB!$F$14:$F$96,RAB!$C$14:$C$96,C1040)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SUMIFS(RAB!$F$14:$F$96,RAB!$C$14:$C$96,C1041)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SUMIFS(RAB!$F$14:$F$96,RAB!$C$14:$C$96,C1042)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SUMIFS(RAB!$F$14:$F$96,RAB!$C$14:$C$96,C1043)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SUMIFS(RAB!$F$14:$F$96,RAB!$C$14:$C$96,C1044)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SUMIFS(RAB!$F$14:$F$96,RAB!$C$14:$C$96,C1045)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SUMIFS(RAB!$F$14:$F$96,RAB!$C$14:$C$96,C1046)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SUMIFS(RAB!$F$14:$F$96,RAB!$C$14:$C$96,C1047)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SUMIFS(RAB!$F$14:$F$96,RAB!$C$14:$C$96,C1048)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SUMIFS(RAB!$F$14:$F$96,RAB!$C$14:$C$96,C1049)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SUMIFS(RAB!$F$14:$F$96,RAB!$C$14:$C$96,C1050)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SUMIFS(RAB!$F$14:$F$96,RAB!$C$14:$C$96,C1051)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SUMIFS(RAB!$F$14:$F$96,RAB!$C$14:$C$96,C1052)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SUMIFS(RAB!$F$14:$F$96,RAB!$C$14:$C$96,C1053)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SUMIFS(RAB!$F$14:$F$96,RAB!$C$14:$C$96,C1054)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SUMIFS(RAB!$F$14:$F$96,RAB!$C$14:$C$96,C1055)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SUMIFS(RAB!$F$14:$F$96,RAB!$C$14:$C$96,C1056)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SUMIFS(RAB!$F$14:$F$96,RAB!$C$14:$C$96,C1057)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SUMIFS(RAB!$F$14:$F$96,RAB!$C$14:$C$96,C1058)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SUMIFS(RAB!$F$14:$F$96,RAB!$C$14:$C$96,C1059)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SUMIFS(RAB!$F$14:$F$96,RAB!$C$14:$C$96,C1060)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SUMIFS(RAB!$F$14:$F$96,RAB!$C$14:$C$96,C1061)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SUMIFS(RAB!$F$14:$F$96,RAB!$C$14:$C$96,C1062)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SUMIFS(RAB!$F$14:$F$96,RAB!$C$14:$C$96,C1063)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SUMIFS(RAB!$F$14:$F$96,RAB!$C$14:$C$96,C1064)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SUMIFS(RAB!$F$14:$F$96,RAB!$C$14:$C$96,C1065)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SUMIFS(RAB!$F$14:$F$96,RAB!$C$14:$C$96,C1066)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SUMIFS(RAB!$F$14:$F$96,RAB!$C$14:$C$96,C1067)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SUMIFS(RAB!$F$14:$F$96,RAB!$C$14:$C$96,C1068)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SUMIFS(RAB!$F$14:$F$96,RAB!$C$14:$C$96,C1069)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SUMIFS(RAB!$F$14:$F$96,RAB!$C$14:$C$96,C1070)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SUMIFS(RAB!$F$14:$F$96,RAB!$C$14:$C$96,C1071)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SUMIFS(RAB!$F$14:$F$96,RAB!$C$14:$C$96,C1072)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SUMIFS(RAB!$F$14:$F$96,RAB!$C$14:$C$96,C1073)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SUMIFS(RAB!$F$14:$F$96,RAB!$C$14:$C$96,C1074)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SUMIFS(RAB!$F$14:$F$96,RAB!$C$14:$C$96,C1075)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SUMIFS(RAB!$F$14:$F$96,RAB!$C$14:$C$96,C1076)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SUMIFS(RAB!$F$14:$F$96,RAB!$C$14:$C$96,C1077)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SUMIFS(RAB!$F$14:$F$96,RAB!$C$14:$C$96,C1078)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SUMIFS(RAB!$F$14:$F$96,RAB!$C$14:$C$96,C1079)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SUMIFS(RAB!$F$14:$F$96,RAB!$C$14:$C$96,C1080)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SUMIFS(RAB!$F$14:$F$96,RAB!$C$14:$C$96,C1081)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SUMIFS(RAB!$F$14:$F$96,RAB!$C$14:$C$96,C1082)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SUMIFS(RAB!$F$14:$F$96,RAB!$C$14:$C$96,C1083)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SUMIFS(RAB!$F$14:$F$96,RAB!$C$14:$C$96,C1084)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SUMIFS(RAB!$F$14:$F$96,RAB!$C$14:$C$96,C1085)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SUMIFS(RAB!$F$14:$F$96,RAB!$C$14:$C$96,C1086)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SUMIFS(RAB!$F$14:$F$96,RAB!$C$14:$C$96,C1087)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SUMIFS(RAB!$F$14:$F$96,RAB!$C$14:$C$96,C1088)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SUMIFS(RAB!$F$14:$F$96,RAB!$C$14:$C$96,C1089)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SUMIFS(RAB!$F$14:$F$96,RAB!$C$14:$C$96,C1090)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SUMIFS(RAB!$F$14:$F$96,RAB!$C$14:$C$96,C1091)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SUMIFS(RAB!$F$14:$F$96,RAB!$C$14:$C$96,C1092)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SUMIFS(RAB!$F$14:$F$96,RAB!$C$14:$C$96,C1093)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SUMIFS(RAB!$F$14:$F$96,RAB!$C$14:$C$96,C1094)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SUMIFS(RAB!$F$14:$F$96,RAB!$C$14:$C$96,C1095)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SUMIFS(RAB!$F$14:$F$96,RAB!$C$14:$C$96,C1096)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SUMIFS(RAB!$F$14:$F$96,RAB!$C$14:$C$96,C1097)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SUMIFS(RAB!$F$14:$F$96,RAB!$C$14:$C$96,C1098)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SUMIFS(RAB!$F$14:$F$96,RAB!$C$14:$C$96,C1099)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SUMIFS(RAB!$F$14:$F$96,RAB!$C$14:$C$96,C1100)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SUMIFS(RAB!$F$14:$F$96,RAB!$C$14:$C$96,C1101)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SUMIFS(RAB!$F$14:$F$96,RAB!$C$14:$C$96,C1102)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SUMIFS(RAB!$F$14:$F$96,RAB!$C$14:$C$96,C1103)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SUMIFS(RAB!$F$14:$F$96,RAB!$C$14:$C$96,C1104)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SUMIFS(RAB!$F$14:$F$96,RAB!$C$14:$C$96,C1105)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SUMIFS(RAB!$F$14:$F$96,RAB!$C$14:$C$96,C1106)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SUMIFS(RAB!$F$14:$F$96,RAB!$C$14:$C$96,C1107)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SUMIFS(RAB!$F$14:$F$96,RAB!$C$14:$C$96,C1108)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SUMIFS(RAB!$F$14:$F$96,RAB!$C$14:$C$96,C1109)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SUMIFS(RAB!$F$14:$F$96,RAB!$C$14:$C$96,C1110)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SUMIFS(RAB!$F$14:$F$96,RAB!$C$14:$C$96,C1111)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SUMIFS(RAB!$F$14:$F$96,RAB!$C$14:$C$96,C1112)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SUMIFS(RAB!$F$14:$F$96,RAB!$C$14:$C$96,C1113)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SUMIFS(RAB!$F$14:$F$96,RAB!$C$14:$C$96,C1114)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SUMIFS(RAB!$F$14:$F$96,RAB!$C$14:$C$96,C1115)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SUMIFS(RAB!$F$14:$F$96,RAB!$C$14:$C$96,C1116)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SUMIFS(RAB!$F$14:$F$96,RAB!$C$14:$C$96,C1117)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SUMIFS(RAB!$F$14:$F$96,RAB!$C$14:$C$96,C1118)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SUMIFS(RAB!$F$14:$F$96,RAB!$C$14:$C$96,C1119)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SUMIFS(RAB!$F$14:$F$96,RAB!$C$14:$C$96,C1120)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SUMIFS(RAB!$F$14:$F$96,RAB!$C$14:$C$96,C1121)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SUMIFS(RAB!$F$14:$F$96,RAB!$C$14:$C$96,C1122)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SUMIFS(RAB!$F$14:$F$96,RAB!$C$14:$C$96,C1123)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SUMIFS(RAB!$F$14:$F$96,RAB!$C$14:$C$96,C1124)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SUMIFS(RAB!$F$14:$F$96,RAB!$C$14:$C$96,C1125)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SUMIFS(RAB!$F$14:$F$96,RAB!$C$14:$C$96,C1126)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SUMIFS(RAB!$F$14:$F$96,RAB!$C$14:$C$96,C1127)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SUMIFS(RAB!$F$14:$F$96,RAB!$C$14:$C$96,C1128)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SUMIFS(RAB!$F$14:$F$96,RAB!$C$14:$C$96,C1129)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SUMIFS(RAB!$F$14:$F$96,RAB!$C$14:$C$96,C1130)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SUMIFS(RAB!$F$14:$F$96,RAB!$C$14:$C$96,C1131)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SUMIFS(RAB!$F$14:$F$96,RAB!$C$14:$C$96,C1132)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SUMIFS(RAB!$F$14:$F$96,RAB!$C$14:$C$96,C1133)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SUMIFS(RAB!$F$14:$F$96,RAB!$C$14:$C$96,C1134)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SUMIFS(RAB!$F$14:$F$96,RAB!$C$14:$C$96,C1135)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SUMIFS(RAB!$F$14:$F$96,RAB!$C$14:$C$96,C1136)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SUMIFS(RAB!$F$14:$F$96,RAB!$C$14:$C$96,C1137)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SUMIFS(RAB!$F$14:$F$96,RAB!$C$14:$C$96,C1138)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SUMIFS(RAB!$F$14:$F$96,RAB!$C$14:$C$96,C1139)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SUMIFS(RAB!$F$14:$F$96,RAB!$C$14:$C$96,C1140)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SUMIFS(RAB!$F$14:$F$96,RAB!$C$14:$C$96,C1141)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SUMIFS(RAB!$F$14:$F$96,RAB!$C$14:$C$96,C1142)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SUMIFS(RAB!$F$14:$F$96,RAB!$C$14:$C$96,C1143)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SUMIFS(RAB!$F$14:$F$96,RAB!$C$14:$C$96,C1144)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SUMIFS(RAB!$F$14:$F$96,RAB!$C$14:$C$96,C1145)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SUMIFS(RAB!$F$14:$F$96,RAB!$C$14:$C$96,C1146)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SUMIFS(RAB!$F$14:$F$96,RAB!$C$14:$C$96,C1147)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SUMIFS(RAB!$F$14:$F$96,RAB!$C$14:$C$96,C1148)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SUMIFS(RAB!$F$14:$F$96,RAB!$C$14:$C$96,C1149)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SUMIFS(RAB!$F$14:$F$96,RAB!$C$14:$C$96,C1150)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SUMIFS(RAB!$F$14:$F$96,RAB!$C$14:$C$96,C1151)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SUMIFS(RAB!$F$14:$F$96,RAB!$C$14:$C$96,C1152)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SUMIFS(RAB!$F$14:$F$96,RAB!$C$14:$C$96,C1153)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SUMIFS(RAB!$F$14:$F$96,RAB!$C$14:$C$96,C1154)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SUMIFS(RAB!$F$14:$F$96,RAB!$C$14:$C$96,C1155)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SUMIFS(RAB!$F$14:$F$96,RAB!$C$14:$C$96,C1156)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SUMIFS(RAB!$F$14:$F$96,RAB!$C$14:$C$96,C1157)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SUMIFS(RAB!$F$14:$F$96,RAB!$C$14:$C$96,C1158)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SUMIFS(RAB!$F$14:$F$96,RAB!$C$14:$C$96,C1159)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SUMIFS(RAB!$F$14:$F$96,RAB!$C$14:$C$96,C1160)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SUMIFS(RAB!$F$14:$F$96,RAB!$C$14:$C$96,C1161)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SUMIFS(RAB!$F$14:$F$96,RAB!$C$14:$C$96,C1162)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SUMIFS(RAB!$F$14:$F$96,RAB!$C$14:$C$96,C1163)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SUMIFS(RAB!$F$14:$F$96,RAB!$C$14:$C$96,C1164)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SUMIFS(RAB!$F$14:$F$96,RAB!$C$14:$C$96,C1165)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SUMIFS(RAB!$F$14:$F$96,RAB!$C$14:$C$96,C1166)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SUMIFS(RAB!$F$14:$F$96,RAB!$C$14:$C$96,C1167)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SUMIFS(RAB!$F$14:$F$96,RAB!$C$14:$C$96,C1168)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SUMIFS(RAB!$F$14:$F$96,RAB!$C$14:$C$96,C1169)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SUMIFS(RAB!$F$14:$F$96,RAB!$C$14:$C$96,C1170)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SUMIFS(RAB!$F$14:$F$96,RAB!$C$14:$C$96,C1171)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SUMIFS(RAB!$F$14:$F$96,RAB!$C$14:$C$96,C1172)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SUMIFS(RAB!$F$14:$F$96,RAB!$C$14:$C$96,C1173)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SUMIFS(RAB!$F$14:$F$96,RAB!$C$14:$C$96,C1174)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SUMIFS(RAB!$F$14:$F$96,RAB!$C$14:$C$96,C1175)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SUMIFS(RAB!$F$14:$F$96,RAB!$C$14:$C$96,C1176)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SUMIFS(RAB!$F$14:$F$96,RAB!$C$14:$C$96,C1177)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SUMIFS(RAB!$F$14:$F$96,RAB!$C$14:$C$96,C1178)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SUMIFS(RAB!$F$14:$F$96,RAB!$C$14:$C$96,C1179)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SUMIFS(RAB!$F$14:$F$96,RAB!$C$14:$C$96,C1180)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SUMIFS(RAB!$F$14:$F$96,RAB!$C$14:$C$96,C1181)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SUMIFS(RAB!$F$14:$F$96,RAB!$C$14:$C$96,C1182)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SUMIFS(RAB!$F$14:$F$96,RAB!$C$14:$C$96,C1183)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SUMIFS(RAB!$F$14:$F$96,RAB!$C$14:$C$96,C1184)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SUMIFS(RAB!$F$14:$F$96,RAB!$C$14:$C$96,C1185)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SUMIFS(RAB!$F$14:$F$96,RAB!$C$14:$C$96,C1186)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SUMIFS(RAB!$F$14:$F$96,RAB!$C$14:$C$96,C1187)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SUMIFS(RAB!$F$14:$F$96,RAB!$C$14:$C$96,C1188)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SUMIFS(RAB!$F$14:$F$96,RAB!$C$14:$C$96,C1189)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SUMIFS(RAB!$F$14:$F$96,RAB!$C$14:$C$96,C1190)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SUMIFS(RAB!$F$14:$F$96,RAB!$C$14:$C$96,C1191)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SUMIFS(RAB!$F$14:$F$96,RAB!$C$14:$C$96,C1192)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SUMIFS(RAB!$F$14:$F$96,RAB!$C$14:$C$96,C1193)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SUMIFS(RAB!$F$14:$F$96,RAB!$C$14:$C$96,C1194)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SUMIFS(RAB!$F$14:$F$96,RAB!$C$14:$C$96,C1195)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SUMIFS(RAB!$F$14:$F$96,RAB!$C$14:$C$96,C1196)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SUMIFS(RAB!$F$14:$F$96,RAB!$C$14:$C$96,C1197)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SUMIFS(RAB!$F$14:$F$96,RAB!$C$14:$C$96,C1198)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SUMIFS(RAB!$F$14:$F$96,RAB!$C$14:$C$96,C1199)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SUMIFS(RAB!$F$14:$F$96,RAB!$C$14:$C$96,C1200)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SUMIFS(RAB!$F$14:$F$96,RAB!$C$14:$C$96,C1201)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SUMIFS(RAB!$F$14:$F$96,RAB!$C$14:$C$96,C1202)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SUMIFS(RAB!$F$14:$F$96,RAB!$C$14:$C$96,C1203)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SUMIFS(RAB!$F$14:$F$96,RAB!$C$14:$C$96,C1204)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SUMIFS(RAB!$F$14:$F$96,RAB!$C$14:$C$96,C1205)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SUMIFS(RAB!$F$14:$F$96,RAB!$C$14:$C$96,C1206)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SUMIFS(RAB!$F$14:$F$96,RAB!$C$14:$C$96,C1207)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SUMIFS(RAB!$F$14:$F$96,RAB!$C$14:$C$96,C1208)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SUMIFS(RAB!$F$14:$F$96,RAB!$C$14:$C$96,C1209)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SUMIFS(RAB!$F$14:$F$96,RAB!$C$14:$C$96,C1210)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SUMIFS(RAB!$F$14:$F$96,RAB!$C$14:$C$96,C1211)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SUMIFS(RAB!$F$14:$F$96,RAB!$C$14:$C$96,C1212)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SUMIFS(RAB!$F$14:$F$96,RAB!$C$14:$C$96,C1213)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SUMIFS(RAB!$F$14:$F$96,RAB!$C$14:$C$96,C1214)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SUMIFS(RAB!$F$14:$F$96,RAB!$C$14:$C$96,C1215)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SUMIFS(RAB!$F$14:$F$96,RAB!$C$14:$C$96,C1216)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SUMIFS(RAB!$F$14:$F$96,RAB!$C$14:$C$96,C1217)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SUMIFS(RAB!$F$14:$F$96,RAB!$C$14:$C$96,C1218)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SUMIFS(RAB!$F$14:$F$96,RAB!$C$14:$C$96,C1219)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SUMIFS(RAB!$F$14:$F$96,RAB!$C$14:$C$96,C1220)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SUMIFS(RAB!$F$14:$F$96,RAB!$C$14:$C$96,C1221)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SUMIFS(RAB!$F$14:$F$96,RAB!$C$14:$C$96,C1222)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SUMIFS(RAB!$F$14:$F$96,RAB!$C$14:$C$96,C1223)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SUMIFS(RAB!$F$14:$F$96,RAB!$C$14:$C$96,C1224)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SUMIFS(RAB!$F$14:$F$96,RAB!$C$14:$C$96,C1225)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SUMIFS(RAB!$F$14:$F$96,RAB!$C$14:$C$96,C1226)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SUMIFS(RAB!$F$14:$F$96,RAB!$C$14:$C$96,C1227)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SUMIFS(RAB!$F$14:$F$96,RAB!$C$14:$C$96,C1228)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SUMIFS(RAB!$F$14:$F$96,RAB!$C$14:$C$96,C1229)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SUMIFS(RAB!$F$14:$F$96,RAB!$C$14:$C$96,C1230)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SUMIFS(RAB!$F$14:$F$96,RAB!$C$14:$C$96,C1231)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SUMIFS(RAB!$F$14:$F$96,RAB!$C$14:$C$96,C1232)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SUMIFS(RAB!$F$14:$F$96,RAB!$C$14:$C$96,C1233)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SUMIFS(RAB!$F$14:$F$96,RAB!$C$14:$C$96,C1234)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SUMIFS(RAB!$F$14:$F$96,RAB!$C$14:$C$96,C1235)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SUMIFS(RAB!$F$14:$F$96,RAB!$C$14:$C$96,C1236)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SUMIFS(RAB!$F$14:$F$96,RAB!$C$14:$C$96,C1237)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SUMIFS(RAB!$F$14:$F$96,RAB!$C$14:$C$96,C1238)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SUMIFS(RAB!$F$14:$F$96,RAB!$C$14:$C$96,C1239)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SUMIFS(RAB!$F$14:$F$96,RAB!$C$14:$C$96,C1240)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SUMIFS(RAB!$F$14:$F$96,RAB!$C$14:$C$96,C1241)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SUMIFS(RAB!$F$14:$F$96,RAB!$C$14:$C$96,C1242)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SUMIFS(RAB!$F$14:$F$96,RAB!$C$14:$C$96,C1243)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SUMIFS(RAB!$F$14:$F$96,RAB!$C$14:$C$96,C1244)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SUMIFS(RAB!$F$14:$F$96,RAB!$C$14:$C$96,C1245)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SUMIFS(RAB!$F$14:$F$96,RAB!$C$14:$C$96,C1246)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SUMIFS(RAB!$F$14:$F$96,RAB!$C$14:$C$96,C1247)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SUMIFS(RAB!$F$14:$F$96,RAB!$C$14:$C$96,C1248)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SUMIFS(RAB!$F$14:$F$96,RAB!$C$14:$C$96,C1249)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SUMIFS(RAB!$F$14:$F$96,RAB!$C$14:$C$96,C1250)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SUMIFS(RAB!$F$14:$F$96,RAB!$C$14:$C$96,C1251)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SUMIFS(RAB!$F$14:$F$96,RAB!$C$14:$C$96,C1252)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SUMIFS(RAB!$F$14:$F$96,RAB!$C$14:$C$96,C1253)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SUMIFS(RAB!$F$14:$F$96,RAB!$C$14:$C$96,C1254)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SUMIFS(RAB!$F$14:$F$96,RAB!$C$14:$C$96,C1255)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SUMIFS(RAB!$F$14:$F$96,RAB!$C$14:$C$96,C1256)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SUMIFS(RAB!$F$14:$F$96,RAB!$C$14:$C$96,C1257)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SUMIFS(RAB!$F$14:$F$96,RAB!$C$14:$C$96,C1258)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SUMIFS(RAB!$F$14:$F$96,RAB!$C$14:$C$96,C1259)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SUMIFS(RAB!$F$14:$F$96,RAB!$C$14:$C$96,C1260)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SUMIFS(RAB!$F$14:$F$96,RAB!$C$14:$C$96,C1261)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SUMIFS(RAB!$F$14:$F$96,RAB!$C$14:$C$96,C1262)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SUMIFS(RAB!$F$14:$F$96,RAB!$C$14:$C$96,C1263)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SUMIFS(RAB!$F$14:$F$96,RAB!$C$14:$C$96,C1264)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SUMIFS(RAB!$F$14:$F$96,RAB!$C$14:$C$96,C1265)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SUMIFS(RAB!$F$14:$F$96,RAB!$C$14:$C$96,C1266)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SUMIFS(RAB!$F$14:$F$96,RAB!$C$14:$C$96,C1267)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SUMIFS(RAB!$F$14:$F$96,RAB!$C$14:$C$96,C1268)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SUMIFS(RAB!$F$14:$F$96,RAB!$C$14:$C$96,C1269)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SUMIFS(RAB!$F$14:$F$96,RAB!$C$14:$C$96,C1270)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SUMIFS(RAB!$F$14:$F$96,RAB!$C$14:$C$96,C1271)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SUMIFS(RAB!$F$14:$F$96,RAB!$C$14:$C$96,C1272)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SUMIFS(RAB!$F$14:$F$96,RAB!$C$14:$C$96,C1273)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SUMIFS(RAB!$F$14:$F$96,RAB!$C$14:$C$96,C1274)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SUMIFS(RAB!$F$14:$F$96,RAB!$C$14:$C$96,C1275)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SUMIFS(RAB!$F$14:$F$96,RAB!$C$14:$C$96,C1276)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SUMIFS(RAB!$F$14:$F$96,RAB!$C$14:$C$96,C1277)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SUMIFS(RAB!$F$14:$F$96,RAB!$C$14:$C$96,C1278)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SUMIFS(RAB!$F$14:$F$96,RAB!$C$14:$C$96,C1279)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SUMIFS(RAB!$F$14:$F$96,RAB!$C$14:$C$96,C1280)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SUMIFS(RAB!$F$14:$F$96,RAB!$C$14:$C$96,C1281)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SUMIFS(RAB!$F$14:$F$96,RAB!$C$14:$C$96,C1282)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SUMIFS(RAB!$F$14:$F$96,RAB!$C$14:$C$96,C1283)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SUMIFS(RAB!$F$14:$F$96,RAB!$C$14:$C$96,C1284)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SUMIFS(RAB!$F$14:$F$96,RAB!$C$14:$C$96,C1285)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SUMIFS(RAB!$F$14:$F$96,RAB!$C$14:$C$96,C1286)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SUMIFS(RAB!$F$14:$F$96,RAB!$C$14:$C$96,C1287)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SUMIFS(RAB!$F$14:$F$96,RAB!$C$14:$C$96,C1288)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SUMIFS(RAB!$F$14:$F$96,RAB!$C$14:$C$96,C1289)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SUMIFS(RAB!$F$14:$F$96,RAB!$C$14:$C$96,C1290)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SUMIFS(RAB!$F$14:$F$96,RAB!$C$14:$C$96,C1291)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SUMIFS(RAB!$F$14:$F$96,RAB!$C$14:$C$96,C1292)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SUMIFS(RAB!$F$14:$F$96,RAB!$C$14:$C$96,C1293)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SUMIFS(RAB!$F$14:$F$96,RAB!$C$14:$C$96,C1294)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SUMIFS(RAB!$F$14:$F$96,RAB!$C$14:$C$96,C1295)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SUMIFS(RAB!$F$14:$F$96,RAB!$C$14:$C$96,C1296)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SUMIFS(RAB!$F$14:$F$96,RAB!$C$14:$C$96,C1297)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SUMIFS(RAB!$F$14:$F$96,RAB!$C$14:$C$96,C1298)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SUMIFS(RAB!$F$14:$F$96,RAB!$C$14:$C$96,C1299)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SUMIFS(RAB!$F$14:$F$96,RAB!$C$14:$C$96,C1300)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SUMIFS(RAB!$F$14:$F$96,RAB!$C$14:$C$96,C1301)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SUMIFS(RAB!$F$14:$F$96,RAB!$C$14:$C$96,C1302)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SUMIFS(RAB!$F$14:$F$96,RAB!$C$14:$C$96,C1303)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SUMIFS(RAB!$F$14:$F$96,RAB!$C$14:$C$96,C1304)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SUMIFS(RAB!$F$14:$F$96,RAB!$C$14:$C$96,C1305)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SUMIFS(RAB!$F$14:$F$96,RAB!$C$14:$C$96,C1306)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SUMIFS(RAB!$F$14:$F$96,RAB!$C$14:$C$96,C1307)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SUMIFS(RAB!$F$14:$F$96,RAB!$C$14:$C$96,C1308)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SUMIFS(RAB!$F$14:$F$96,RAB!$C$14:$C$96,C1309)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SUMIFS(RAB!$F$14:$F$96,RAB!$C$14:$C$96,C1310)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SUMIFS(RAB!$F$14:$F$96,RAB!$C$14:$C$96,C1311)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SUMIFS(RAB!$F$14:$F$96,RAB!$C$14:$C$96,C1312)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SUMIFS(RAB!$F$14:$F$96,RAB!$C$14:$C$96,C1313)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SUMIFS(RAB!$F$14:$F$96,RAB!$C$14:$C$96,C1314)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SUMIFS(RAB!$F$14:$F$96,RAB!$C$14:$C$96,C1315)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SUMIFS(RAB!$F$14:$F$96,RAB!$C$14:$C$96,C1316)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SUMIFS(RAB!$F$14:$F$96,RAB!$C$14:$C$96,C1317)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SUMIFS(RAB!$F$14:$F$96,RAB!$C$14:$C$96,C1318)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SUMIFS(RAB!$F$14:$F$96,RAB!$C$14:$C$96,C1319)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SUMIFS(RAB!$F$14:$F$96,RAB!$C$14:$C$96,C1320)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8" priority="5" operator="equal">
      <formula>0</formula>
    </cfRule>
  </conditionalFormatting>
  <conditionalFormatting sqref="A10:L65536">
    <cfRule type="cellIs" dxfId="47" priority="1" operator="equal">
      <formula>0</formula>
    </cfRule>
  </conditionalFormatting>
  <conditionalFormatting sqref="C12:C711">
    <cfRule type="cellIs" dxfId="46" priority="66" stopIfTrue="1" operator="equal">
      <formula>0</formula>
    </cfRule>
  </conditionalFormatting>
  <conditionalFormatting sqref="E712:E65536">
    <cfRule type="cellIs" dxfId="45" priority="16" stopIfTrue="1" operator="equal">
      <formula>0</formula>
    </cfRule>
  </conditionalFormatting>
  <conditionalFormatting sqref="G1:G11 E6:E11 E1:E3 H7 H10:H11 F10:F711 G712:G65536">
    <cfRule type="cellIs" dxfId="44" priority="69" stopIfTrue="1" operator="equal">
      <formula>0</formula>
    </cfRule>
  </conditionalFormatting>
  <conditionalFormatting sqref="G12:H711">
    <cfRule type="cellIs" dxfId="43" priority="12" stopIfTrue="1" operator="equal">
      <formula>0</formula>
    </cfRule>
  </conditionalFormatting>
  <conditionalFormatting sqref="I7:K7">
    <cfRule type="cellIs" dxfId="42" priority="4" stopIfTrue="1" operator="equal">
      <formula>0</formula>
    </cfRule>
  </conditionalFormatting>
  <conditionalFormatting sqref="I10:L711">
    <cfRule type="cellIs" dxfId="41" priority="2" stopIfTrue="1" operator="equal">
      <formula>0</formula>
    </cfRule>
  </conditionalFormatting>
  <conditionalFormatting sqref="L1:L6">
    <cfRule type="cellIs" dxfId="40" priority="10" operator="equal">
      <formula>0</formula>
    </cfRule>
  </conditionalFormatting>
  <conditionalFormatting sqref="M1:IV1048576 A8:G9">
    <cfRule type="cellIs" dxfId="3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4" t="s">
        <v>1125</v>
      </c>
      <c r="C4" s="514"/>
      <c r="D4" s="514"/>
      <c r="E4" s="514"/>
      <c r="F4" s="514"/>
      <c r="G4" s="514"/>
      <c r="H4" s="514"/>
      <c r="I4" s="514"/>
      <c r="J4" s="514"/>
      <c r="K4" s="51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38" t="str">
        <f>RAB!G6</f>
        <v>CRBC WIKA-PP JO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DS SIDOGEMAH SAYUNG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5" t="s">
        <v>0</v>
      </c>
      <c r="C11" s="517" t="s">
        <v>1</v>
      </c>
      <c r="D11" s="520" t="s">
        <v>42</v>
      </c>
      <c r="E11" s="520" t="s">
        <v>43</v>
      </c>
      <c r="F11" s="520" t="s">
        <v>2</v>
      </c>
      <c r="G11" s="522" t="s">
        <v>41</v>
      </c>
      <c r="H11" s="520" t="s">
        <v>3</v>
      </c>
      <c r="I11" s="520"/>
      <c r="J11" s="520"/>
      <c r="K11" s="525"/>
      <c r="M11" s="33"/>
      <c r="N11" s="33"/>
      <c r="O11" s="33"/>
      <c r="P11" s="33"/>
      <c r="R11" s="34"/>
      <c r="S11" s="74"/>
      <c r="T11" s="74"/>
    </row>
    <row r="12" spans="1:21" ht="15" customHeight="1">
      <c r="B12" s="516"/>
      <c r="C12" s="518"/>
      <c r="D12" s="521"/>
      <c r="E12" s="521"/>
      <c r="F12" s="521"/>
      <c r="G12" s="523"/>
      <c r="H12" s="529" t="s">
        <v>46</v>
      </c>
      <c r="I12" s="529" t="s">
        <v>5</v>
      </c>
      <c r="J12" s="521" t="s">
        <v>47</v>
      </c>
      <c r="K12" s="52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6"/>
      <c r="C13" s="519"/>
      <c r="D13" s="521"/>
      <c r="E13" s="521"/>
      <c r="F13" s="521"/>
      <c r="G13" s="524"/>
      <c r="H13" s="530"/>
      <c r="I13" s="530"/>
      <c r="J13" s="521"/>
      <c r="K13" s="52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1126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1007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1" t="s">
        <v>463</v>
      </c>
      <c r="D40" s="531"/>
      <c r="E40" s="531"/>
      <c r="F40" s="531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6"/>
      <c r="I45" s="526"/>
      <c r="J45" s="527"/>
      <c r="K45" s="52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6"/>
      <c r="I46" s="526"/>
      <c r="J46" s="527"/>
      <c r="K46" s="52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6"/>
      <c r="I47" s="526"/>
      <c r="J47" s="527"/>
      <c r="K47" s="52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6"/>
      <c r="I52" s="526"/>
      <c r="J52" s="527"/>
      <c r="K52" s="52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1136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SUMIFS(RAB!$F$14:$F$96,RAB!$C$14:$C$96,'REKAP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SUMIFS(RAB!$F$14:$F$96,RAB!$C$14:$C$96,'REKAP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SUMIFS(RAB!$F$14:$F$96,RAB!$C$14:$C$96,'REKAP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SUMIFS(RAB!$F$14:$F$96,RAB!$C$14:$C$96,'REKAP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SUMIFS(RAB!$F$14:$F$96,RAB!$C$14:$C$96,'REKAP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SUMIFS(RAB!$F$14:$F$96,RAB!$C$14:$C$96,'REKAP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SUMIFS(RAB!$F$14:$F$96,RAB!$C$14:$C$96,'REKAP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SUMIFS(RAB!$F$14:$F$96,RAB!$C$14:$C$96,'REKAP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SUMIFS(RAB!$F$14:$F$96,RAB!$C$14:$C$96,'REKAP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SUMIFS(RAB!$F$14:$F$96,RAB!$C$14:$C$96,'REKAP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SUMIFS(RAB!$F$14:$F$96,RAB!$C$14:$C$96,'REKAP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SUMIFS(RAB!$F$14:$F$96,RAB!$C$14:$C$96,'REKAP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SUMIFS(RAB!$F$14:$F$96,RAB!$C$14:$C$96,'REKAP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SUMIFS(RAB!$F$14:$F$96,RAB!$C$14:$C$96,'REKAP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SUMIFS(RAB!$F$14:$F$96,RAB!$C$14:$C$96,'REKAP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SUMIFS(RAB!$F$14:$F$96,RAB!$C$14:$C$96,'REKAP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SUMIFS(RAB!$F$14:$F$96,RAB!$C$14:$C$96,'REKAP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SUMIFS(RAB!$F$14:$F$96,RAB!$C$14:$C$96,'REKAP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SUMIFS(RAB!$F$14:$F$96,RAB!$C$14:$C$96,'REKAP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SUMIFS(RAB!$F$14:$F$96,RAB!$C$14:$C$96,'REKAP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4" t="s">
        <v>1033</v>
      </c>
      <c r="C4" s="514"/>
      <c r="D4" s="514"/>
      <c r="E4" s="514"/>
      <c r="F4" s="514"/>
      <c r="G4" s="514"/>
      <c r="H4" s="514"/>
      <c r="I4" s="514"/>
      <c r="J4" s="514"/>
      <c r="K4" s="51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38" t="str">
        <f>RAB!G6</f>
        <v>CRBC WIKA-PP JO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DS SIDOGEMAH SAYUNG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5" t="s">
        <v>0</v>
      </c>
      <c r="C11" s="517" t="s">
        <v>1</v>
      </c>
      <c r="D11" s="520" t="s">
        <v>42</v>
      </c>
      <c r="E11" s="520" t="s">
        <v>43</v>
      </c>
      <c r="F11" s="520" t="s">
        <v>2</v>
      </c>
      <c r="G11" s="522" t="s">
        <v>41</v>
      </c>
      <c r="H11" s="520" t="s">
        <v>3</v>
      </c>
      <c r="I11" s="520"/>
      <c r="J11" s="520"/>
      <c r="K11" s="525"/>
      <c r="M11" s="33"/>
      <c r="N11" s="33"/>
      <c r="O11" s="33"/>
      <c r="P11" s="33"/>
      <c r="R11" s="34"/>
      <c r="S11" s="74"/>
      <c r="T11" s="74"/>
    </row>
    <row r="12" spans="1:21" ht="15" customHeight="1">
      <c r="B12" s="516"/>
      <c r="C12" s="518"/>
      <c r="D12" s="521"/>
      <c r="E12" s="521"/>
      <c r="F12" s="521"/>
      <c r="G12" s="523"/>
      <c r="H12" s="529" t="s">
        <v>46</v>
      </c>
      <c r="I12" s="529" t="s">
        <v>5</v>
      </c>
      <c r="J12" s="521" t="s">
        <v>47</v>
      </c>
      <c r="K12" s="52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6"/>
      <c r="C13" s="519"/>
      <c r="D13" s="521"/>
      <c r="E13" s="521"/>
      <c r="F13" s="521"/>
      <c r="G13" s="524"/>
      <c r="H13" s="530"/>
      <c r="I13" s="530"/>
      <c r="J13" s="521"/>
      <c r="K13" s="52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40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2180000</v>
      </c>
      <c r="I22" s="42">
        <f t="shared" ca="1" si="2"/>
        <v>0</v>
      </c>
      <c r="J22" s="42">
        <f t="shared" ca="1" si="3"/>
        <v>0</v>
      </c>
      <c r="K22" s="43">
        <f t="shared" ca="1" si="0"/>
        <v>2180000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1007</v>
      </c>
      <c r="D168" s="539"/>
      <c r="E168" s="539"/>
      <c r="F168" s="539"/>
      <c r="G168" s="77" t="s">
        <v>9</v>
      </c>
      <c r="H168" s="55">
        <f ca="1">SUM(H14:H167)</f>
        <v>64935950</v>
      </c>
      <c r="I168" s="55">
        <f ca="1">SUM(I14:I167)</f>
        <v>0</v>
      </c>
      <c r="J168" s="55">
        <f ca="1">SUM(J14:J167)</f>
        <v>0</v>
      </c>
      <c r="K168" s="55">
        <f ca="1">SUM(K14:K167)</f>
        <v>64935950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6493595</v>
      </c>
      <c r="I169" s="60">
        <f ca="1">I168*0.1</f>
        <v>0</v>
      </c>
      <c r="J169" s="60">
        <f ca="1">J168*0.1</f>
        <v>0</v>
      </c>
      <c r="K169" s="60">
        <f ca="1">K168*0.1</f>
        <v>6493595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1" t="s">
        <v>463</v>
      </c>
      <c r="D170" s="531"/>
      <c r="E170" s="531"/>
      <c r="F170" s="531"/>
      <c r="G170" s="61" t="s">
        <v>9</v>
      </c>
      <c r="H170" s="78">
        <f ca="1">SUM(H168:H169)</f>
        <v>71429545</v>
      </c>
      <c r="I170" s="78">
        <f ca="1">SUM(I168:I169)</f>
        <v>0</v>
      </c>
      <c r="J170" s="61">
        <f ca="1">SUM(J168:J169)</f>
        <v>0</v>
      </c>
      <c r="K170" s="61">
        <f ca="1">SUM(K168:K169)</f>
        <v>71429545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6"/>
      <c r="I175" s="526"/>
      <c r="J175" s="527"/>
      <c r="K175" s="52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6"/>
      <c r="I176" s="526"/>
      <c r="J176" s="527"/>
      <c r="K176" s="52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6"/>
      <c r="I177" s="526"/>
      <c r="J177" s="527"/>
      <c r="K177" s="52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6"/>
      <c r="I182" s="526"/>
      <c r="J182" s="527"/>
      <c r="K182" s="52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1137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SUMIFS(RAB!$F$14:$F$96,RAB!$C$14:$C$96,C224)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SUMIFS(RAB!$F$14:$F$96,RAB!$C$14:$C$96,C225)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SUMIFS(RAB!$F$14:$F$96,RAB!$C$14:$C$96,C226)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SUMIFS(RAB!$F$14:$F$96,RAB!$C$14:$C$96,C227)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SUMIFS(RAB!$F$14:$F$96,RAB!$C$14:$C$96,C228)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SUMIFS(RAB!$F$14:$F$96,RAB!$C$14:$C$96,C229)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SUMIFS(RAB!$F$14:$F$96,RAB!$C$14:$C$96,C230)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SUMIFS(RAB!$F$14:$F$96,RAB!$C$14:$C$96,C231)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SUMIFS(RAB!$F$14:$F$96,RAB!$C$14:$C$96,C232)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SUMIFS(RAB!$F$14:$F$96,RAB!$C$14:$C$96,C233)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SUMIFS(RAB!$F$14:$F$96,RAB!$C$14:$C$96,C234)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SUMIFS(RAB!$F$14:$F$96,RAB!$C$14:$C$96,C235)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SUMIFS(RAB!$F$14:$F$96,RAB!$C$14:$C$96,C236)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SUMIFS(RAB!$F$14:$F$96,RAB!$C$14:$C$96,C237)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SUMIFS(RAB!$F$14:$F$96,RAB!$C$14:$C$96,C238)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SUMIFS(RAB!$F$14:$F$96,RAB!$C$14:$C$96,C239)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SUMIFS(RAB!$F$14:$F$96,RAB!$C$14:$C$96,C240)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SUMIFS(RAB!$F$14:$F$96,RAB!$C$14:$C$96,C241)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SUMIFS(RAB!$F$14:$F$96,RAB!$C$14:$C$96,C242)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SUMIFS(RAB!$F$14:$F$96,RAB!$C$14:$C$96,C243)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SUMIFS(RAB!$F$14:$F$96,RAB!$C$14:$C$96,C244)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SUMIFS(RAB!$F$14:$F$96,RAB!$C$14:$C$96,C245)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SUMIFS(RAB!$F$14:$F$96,RAB!$C$14:$C$96,C246)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SUMIFS(RAB!$F$14:$F$96,RAB!$C$14:$C$96,C247)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SUMIFS(RAB!$F$14:$F$96,RAB!$C$14:$C$96,C248)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SUMIFS(RAB!$F$14:$F$96,RAB!$C$14:$C$96,C249)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SUMIFS(RAB!$F$14:$F$96,RAB!$C$14:$C$96,C250)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SUMIFS(RAB!$F$14:$F$96,RAB!$C$14:$C$96,C251)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SUMIFS(RAB!$F$14:$F$96,RAB!$C$14:$C$96,C252)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SUMIFS(RAB!$F$14:$F$96,RAB!$C$14:$C$96,C253)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SUMIFS(RAB!$F$14:$F$96,RAB!$C$14:$C$96,C254)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SUMIFS(RAB!$F$14:$F$96,RAB!$C$14:$C$96,C255)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SUMIFS(RAB!$F$14:$F$96,RAB!$C$14:$C$96,C256)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SUMIFS(RAB!$F$14:$F$96,RAB!$C$14:$C$96,C257)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SUMIFS(RAB!$F$14:$F$96,RAB!$C$14:$C$96,C258)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SUMIFS(RAB!$F$14:$F$96,RAB!$C$14:$C$96,C259)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SUMIFS(RAB!$F$14:$F$96,RAB!$C$14:$C$96,C260)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SUMIFS(RAB!$F$14:$F$96,RAB!$C$14:$C$96,C261)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SUMIFS(RAB!$F$14:$F$96,RAB!$C$14:$C$96,C262)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SUMIFS(RAB!$F$14:$F$96,RAB!$C$14:$C$96,C263)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SUMIFS(RAB!$F$14:$F$96,RAB!$C$14:$C$96,C264)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SUMIFS(RAB!$F$14:$F$96,RAB!$C$14:$C$96,C265)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SUMIFS(RAB!$F$14:$F$96,RAB!$C$14:$C$96,C266)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SUMIFS(RAB!$F$14:$F$96,RAB!$C$14:$C$96,C267)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SUMIFS(RAB!$F$14:$F$96,RAB!$C$14:$C$96,C268)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SUMIFS(RAB!$F$14:$F$96,RAB!$C$14:$C$96,C269)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SUMIFS(RAB!$F$14:$F$96,RAB!$C$14:$C$96,C270)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SUMIFS(RAB!$F$14:$F$96,RAB!$C$14:$C$96,C271)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SUMIFS(RAB!$F$14:$F$96,RAB!$C$14:$C$96,C272)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SUMIFS(RAB!$F$14:$F$96,RAB!$C$14:$C$96,C273)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SUMIFS(RAB!$F$14:$F$96,RAB!$C$14:$C$96,C274)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SUMIFS(RAB!$F$14:$F$96,RAB!$C$14:$C$96,C275)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SUMIFS(RAB!$F$14:$F$96,RAB!$C$14:$C$96,C276)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SUMIFS(RAB!$F$14:$F$96,RAB!$C$14:$C$96,C277)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SUMIFS(RAB!$F$14:$F$96,RAB!$C$14:$C$96,C278)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SUMIFS(RAB!$F$14:$F$96,RAB!$C$14:$C$96,C279)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SUMIFS(RAB!$F$14:$F$96,RAB!$C$14:$C$96,C280)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SUMIFS(RAB!$F$14:$F$96,RAB!$C$14:$C$96,C281)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SUMIFS(RAB!$F$14:$F$96,RAB!$C$14:$C$96,C282)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SUMIFS(RAB!$F$14:$F$96,RAB!$C$14:$C$96,C283)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SUMIFS(RAB!$F$14:$F$96,RAB!$C$14:$C$96,C284)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SUMIFS(RAB!$F$14:$F$96,RAB!$C$14:$C$96,C285)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SUMIFS(RAB!$F$14:$F$96,RAB!$C$14:$C$96,C286)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SUMIFS(RAB!$F$14:$F$96,RAB!$C$14:$C$96,C287)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SUMIFS(RAB!$F$14:$F$96,RAB!$C$14:$C$96,C288)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SUMIFS(RAB!$F$14:$F$96,RAB!$C$14:$C$96,C289)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SUMIFS(RAB!$F$14:$F$96,RAB!$C$14:$C$96,C290)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SUMIFS(RAB!$F$14:$F$96,RAB!$C$14:$C$96,C291)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SUMIFS(RAB!$F$14:$F$96,RAB!$C$14:$C$96,C292)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SUMIFS(RAB!$F$14:$F$96,RAB!$C$14:$C$96,C293)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SUMIFS(RAB!$F$14:$F$96,RAB!$C$14:$C$96,C294)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SUMIFS(RAB!$F$14:$F$96,RAB!$C$14:$C$96,C295)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SUMIFS(RAB!$F$14:$F$96,RAB!$C$14:$C$96,C296)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SUMIFS(RAB!$F$14:$F$96,RAB!$C$14:$C$96,C297)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SUMIFS(RAB!$F$14:$F$96,RAB!$C$14:$C$96,C298)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SUMIFS(RAB!$F$14:$F$96,RAB!$C$14:$C$96,C299)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SUMIFS(RAB!$F$14:$F$96,RAB!$C$14:$C$96,C300)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SUMIFS(RAB!$F$14:$F$96,RAB!$C$14:$C$96,C301)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SUMIFS(RAB!$F$14:$F$96,RAB!$C$14:$C$96,C302)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SUMIFS(RAB!$F$14:$F$96,RAB!$C$14:$C$96,C303)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SUMIFS(RAB!$F$14:$F$96,RAB!$C$14:$C$96,C304)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SUMIFS(RAB!$F$14:$F$96,RAB!$C$14:$C$96,C305)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SUMIFS(RAB!$F$14:$F$96,RAB!$C$14:$C$96,C306)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SUMIFS(RAB!$F$14:$F$96,RAB!$C$14:$C$96,C307)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SUMIFS(RAB!$F$14:$F$96,RAB!$C$14:$C$96,C308)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SUMIFS(RAB!$F$14:$F$96,RAB!$C$14:$C$96,C309)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SUMIFS(RAB!$F$14:$F$96,RAB!$C$14:$C$96,C310)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SUMIFS(RAB!$F$14:$F$96,RAB!$C$14:$C$96,C311)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SUMIFS(RAB!$F$14:$F$96,RAB!$C$14:$C$96,C312)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SUMIFS(RAB!$F$14:$F$96,RAB!$C$14:$C$96,C313)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SUMIFS(RAB!$F$14:$F$96,RAB!$C$14:$C$96,C314)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SUMIFS(RAB!$F$14:$F$96,RAB!$C$14:$C$96,C315)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SUMIFS(RAB!$F$14:$F$96,RAB!$C$14:$C$96,C316)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SUMIFS(RAB!$F$14:$F$96,RAB!$C$14:$C$96,C317)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SUMIFS(RAB!$F$14:$F$96,RAB!$C$14:$C$96,C318)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SUMIFS(RAB!$F$14:$F$96,RAB!$C$14:$C$96,C319)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SUMIFS(RAB!$F$14:$F$96,RAB!$C$14:$C$96,C320)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SUMIFS(RAB!$F$14:$F$96,RAB!$C$14:$C$96,C321)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SUMIFS(RAB!$F$14:$F$96,RAB!$C$14:$C$96,C322)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MCCB</v>
      </c>
      <c r="D323" s="72">
        <f ca="1">SUMIFS(RAB!$F$14:$F$96,RAB!$C$14:$C$96,C323)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SUMIFS(RAB!$F$14:$F$96,RAB!$C$14:$C$96,C324)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SUMIFS(RAB!$F$14:$F$96,RAB!$C$14:$C$96,C325)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SUMIFS(RAB!$F$14:$F$96,RAB!$C$14:$C$96,C326)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SUMIFS(RAB!$F$14:$F$96,RAB!$C$14:$C$96,C327)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SUMIFS(RAB!$F$14:$F$96,RAB!$C$14:$C$96,C328)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SUMIFS(RAB!$F$14:$F$96,RAB!$C$14:$C$96,C329)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SUMIFS(RAB!$F$14:$F$96,RAB!$C$14:$C$96,C330)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SUMIFS(RAB!$F$14:$F$96,RAB!$C$14:$C$96,C331)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SUMIFS(RAB!$F$14:$F$96,RAB!$C$14:$C$96,C332)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SUMIFS(RAB!$F$14:$F$96,RAB!$C$14:$C$96,C333)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SUMIFS(RAB!$F$14:$F$96,RAB!$C$14:$C$96,C334)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SUMIFS(RAB!$F$14:$F$96,RAB!$C$14:$C$96,C335)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SUMIFS(RAB!$F$14:$F$96,RAB!$C$14:$C$96,C336)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SUMIFS(RAB!$F$14:$F$96,RAB!$C$14:$C$96,C337)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SUMIFS(RAB!$F$14:$F$96,RAB!$C$14:$C$96,C338)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SUMIFS(RAB!$F$14:$F$96,RAB!$C$14:$C$96,C339)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SUMIFS(RAB!$F$14:$F$96,RAB!$C$14:$C$96,C340)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SUMIFS(RAB!$F$14:$F$96,RAB!$C$14:$C$96,C341)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SUMIFS(RAB!$F$14:$F$96,RAB!$C$14:$C$96,C342)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SUMIFS(RAB!$F$14:$F$96,RAB!$C$14:$C$96,C343)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SUMIFS(RAB!$F$14:$F$96,RAB!$C$14:$C$96,C344)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SUMIFS(RAB!$F$14:$F$96,RAB!$C$14:$C$96,C345)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SUMIFS(RAB!$F$14:$F$96,RAB!$C$14:$C$96,C346)</f>
        <v>40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SUMIFS(RAB!$F$14:$F$96,RAB!$C$14:$C$96,C347)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SUMIFS(RAB!$F$14:$F$96,RAB!$C$14:$C$96,C348)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SUMIFS(RAB!$F$14:$F$96,RAB!$C$14:$C$96,C349)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SUMIFS(RAB!$F$14:$F$96,RAB!$C$14:$C$96,C350)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SUMIFS(RAB!$F$14:$F$96,RAB!$C$14:$C$96,C351)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SUMIFS(RAB!$F$14:$F$96,RAB!$C$14:$C$96,C352)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SUMIFS(RAB!$F$14:$F$96,RAB!$C$14:$C$96,C353)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SUMIFS(RAB!$F$14:$F$96,RAB!$C$14:$C$96,C354)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SUMIFS(RAB!$F$14:$F$96,RAB!$C$14:$C$96,C355)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SUMIFS(RAB!$F$14:$F$96,RAB!$C$14:$C$96,C356)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SUMIFS(RAB!$F$14:$F$96,RAB!$C$14:$C$96,C357)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SUMIFS(RAB!$F$14:$F$96,RAB!$C$14:$C$96,C358)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SUMIFS(RAB!$F$14:$F$96,RAB!$C$14:$C$96,C359)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SUMIFS(RAB!$F$14:$F$96,RAB!$C$14:$C$96,C360)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SUMIFS(RAB!$F$14:$F$96,RAB!$C$14:$C$96,C361)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SUMIFS(RAB!$F$14:$F$96,RAB!$C$14:$C$96,C362)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SUMIFS(RAB!$F$14:$F$96,RAB!$C$14:$C$96,C363)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SUMIFS(RAB!$F$14:$F$96,RAB!$C$14:$C$96,C364)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SUMIFS(RAB!$F$14:$F$96,RAB!$C$14:$C$96,C365)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SUMIFS(RAB!$F$14:$F$96,RAB!$C$14:$C$96,C366)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SUMIFS(RAB!$F$14:$F$96,RAB!$C$14:$C$96,C367)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SUMIFS(RAB!$F$14:$F$96,RAB!$C$14:$C$96,C368)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SUMIFS(RAB!$F$14:$F$96,RAB!$C$14:$C$96,C369)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SUMIFS(RAB!$F$14:$F$96,RAB!$C$14:$C$96,C370)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SUMIFS(RAB!$F$14:$F$96,RAB!$C$14:$C$96,C371)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SUMIFS(RAB!$F$14:$F$96,RAB!$C$14:$C$96,C372)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SUMIFS(RAB!$F$14:$F$96,RAB!$C$14:$C$96,C373)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6" priority="5" operator="equal">
      <formula>0</formula>
    </cfRule>
  </conditionalFormatting>
  <conditionalFormatting sqref="C16:C165">
    <cfRule type="cellIs" dxfId="35" priority="4" stopIfTrue="1" operator="equal">
      <formula>0</formula>
    </cfRule>
  </conditionalFormatting>
  <conditionalFormatting sqref="C16:E165">
    <cfRule type="cellIs" dxfId="34" priority="1" operator="equal">
      <formula>0</formula>
    </cfRule>
  </conditionalFormatting>
  <conditionalFormatting sqref="D224:F373">
    <cfRule type="cellIs" dxfId="33" priority="8" operator="equal">
      <formula>0</formula>
    </cfRule>
  </conditionalFormatting>
  <conditionalFormatting sqref="E1:E3 G1:G115 E6:E15 H12:I12 N13 F14:F15 H14:K115 E166:K166 G166:G223 E167:F167 H167:K167">
    <cfRule type="cellIs" dxfId="32" priority="43" stopIfTrue="1" operator="equal">
      <formula>0</formula>
    </cfRule>
  </conditionalFormatting>
  <conditionalFormatting sqref="E171:E65536">
    <cfRule type="cellIs" dxfId="31" priority="9" stopIfTrue="1" operator="equal">
      <formula>0</formula>
    </cfRule>
  </conditionalFormatting>
  <conditionalFormatting sqref="G224">
    <cfRule type="cellIs" dxfId="30" priority="10" operator="equal">
      <formula>0</formula>
    </cfRule>
  </conditionalFormatting>
  <conditionalFormatting sqref="G225:G65536">
    <cfRule type="cellIs" dxfId="29" priority="14" stopIfTrue="1" operator="equal">
      <formula>0</formula>
    </cfRule>
  </conditionalFormatting>
  <conditionalFormatting sqref="R14:T166 G116:K165">
    <cfRule type="cellIs" dxfId="2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45"/>
    </row>
    <row r="4" spans="4:4" ht="57" customHeight="1">
      <c r="D4" s="445">
        <v>3</v>
      </c>
    </row>
    <row r="5" spans="4:4" ht="57" customHeight="1">
      <c r="D5" s="44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9" activePane="bottomRight" state="frozen"/>
      <selection activeCell="D209" sqref="D209"/>
      <selection pane="topRight" activeCell="D209" sqref="D209"/>
      <selection pane="bottomLeft" activeCell="D209" sqref="D209"/>
      <selection pane="bottomRight" activeCell="C211" sqref="C21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2" t="s">
        <v>41</v>
      </c>
      <c r="C2" s="54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3" t="s">
        <v>23</v>
      </c>
      <c r="C4" s="544" t="s">
        <v>1011</v>
      </c>
      <c r="D4" s="544" t="s">
        <v>42</v>
      </c>
      <c r="E4" s="543" t="s">
        <v>43</v>
      </c>
      <c r="F4" s="108" t="s">
        <v>1602</v>
      </c>
      <c r="G4" s="108" t="s">
        <v>1601</v>
      </c>
      <c r="H4" s="541" t="s">
        <v>1024</v>
      </c>
      <c r="I4" s="193" t="s">
        <v>478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3"/>
      <c r="C5" s="544"/>
      <c r="D5" s="544"/>
      <c r="E5" s="543"/>
      <c r="F5" s="93"/>
      <c r="G5" s="93"/>
      <c r="H5" s="541"/>
      <c r="I5" s="193" t="s">
        <v>1601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479</v>
      </c>
      <c r="C8" s="109" t="s">
        <v>480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481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482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483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1139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1138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1195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1196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1194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1140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484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485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486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487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488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489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490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491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492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493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494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495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496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497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498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499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500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501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1545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1546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1547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1548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1549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1550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1551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1552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502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503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1321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1322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1323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1324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1325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1326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1327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1328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1329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1330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1331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1332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1333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1334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1335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1336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1337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1338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1339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1340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1341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1342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1379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1380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1381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1382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1383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1384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1385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1386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1387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1388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1389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1390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1391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1392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1393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1394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1343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1344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504</v>
      </c>
      <c r="C87" s="109" t="s">
        <v>505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506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507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508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509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510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511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512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513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514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515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516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517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518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519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520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521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522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523</v>
      </c>
      <c r="C114" s="109" t="s">
        <v>1192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1193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76" t="s">
        <v>44</v>
      </c>
      <c r="E116" s="277" t="s">
        <v>524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76" t="s">
        <v>44</v>
      </c>
      <c r="E117" s="277" t="s">
        <v>524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76" t="s">
        <v>44</v>
      </c>
      <c r="E118" s="277" t="s">
        <v>524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76" t="s">
        <v>44</v>
      </c>
      <c r="E119" s="277" t="s">
        <v>524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76" t="s">
        <v>44</v>
      </c>
      <c r="E120" s="277" t="s">
        <v>524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1191</v>
      </c>
      <c r="D121" s="276" t="s">
        <v>44</v>
      </c>
      <c r="E121" s="277" t="s">
        <v>524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1395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1396</v>
      </c>
      <c r="D123" s="276" t="s">
        <v>44</v>
      </c>
      <c r="E123" s="277" t="s">
        <v>524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1397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525</v>
      </c>
      <c r="C126" s="109" t="s">
        <v>526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527</v>
      </c>
      <c r="D127" s="276" t="s">
        <v>44</v>
      </c>
      <c r="E127" s="277" t="s">
        <v>524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528</v>
      </c>
      <c r="D128" s="276" t="s">
        <v>44</v>
      </c>
      <c r="E128" s="277" t="s">
        <v>524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1141</v>
      </c>
      <c r="D129" s="276" t="s">
        <v>45</v>
      </c>
      <c r="E129" s="277" t="s">
        <v>524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1142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1143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529</v>
      </c>
      <c r="C133" s="109" t="s">
        <v>530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531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1144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1145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1146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1147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1148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1149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1150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1456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1553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1042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1043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1044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1554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532</v>
      </c>
      <c r="C150" s="109" t="s">
        <v>533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534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535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536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537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1398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1399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538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539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540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541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542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543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544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545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546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547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548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549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550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551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552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553</v>
      </c>
      <c r="C184" s="109" t="s">
        <v>1151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554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555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1555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1556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556</v>
      </c>
      <c r="C191" s="109" t="s">
        <v>557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558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559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1045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581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582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561</v>
      </c>
      <c r="C203" s="109" t="s">
        <v>560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563</v>
      </c>
      <c r="C213" s="109" t="s">
        <v>562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1557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1127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1558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1559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565</v>
      </c>
      <c r="C219" s="109" t="s">
        <v>564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578</v>
      </c>
      <c r="C227" s="109" t="s">
        <v>566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1400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1401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1457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1458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567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568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569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570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571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572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573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574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575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576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577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580</v>
      </c>
      <c r="C274" s="109" t="s">
        <v>579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1560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1561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1562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1563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1564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1565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1566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1567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1568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1569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1570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1571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1572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1573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1574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1575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1576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1577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1578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1579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1580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1581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1582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1583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1584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1585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1586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1587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1588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1589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1590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1591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1592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1593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1594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1595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1596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1459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1460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583</v>
      </c>
      <c r="C315" s="109" t="s">
        <v>584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1154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1152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1153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585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1461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1462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1463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1464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1402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586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587</v>
      </c>
      <c r="C361" s="109" t="s">
        <v>588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589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590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1155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591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592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593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594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595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596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1465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68" t="s">
        <v>597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598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599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600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1046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1047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1048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1049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1050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1051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601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602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603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68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604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605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606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607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608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1466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1467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609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610</v>
      </c>
      <c r="C557" s="109" t="s">
        <v>611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1468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1469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1470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1471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1472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1473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1474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1475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1476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1477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1478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1479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1480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1481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1482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1483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1484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1485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1486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1487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1488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1489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1490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1491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1492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612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613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1090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614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1091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615</v>
      </c>
      <c r="C598" s="109" t="s">
        <v>1052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1053</v>
      </c>
      <c r="D599" s="276" t="s">
        <v>45</v>
      </c>
      <c r="E599" s="277" t="s">
        <v>1088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1054</v>
      </c>
      <c r="D600" s="276" t="s">
        <v>45</v>
      </c>
      <c r="E600" s="277" t="s">
        <v>1088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1156</v>
      </c>
      <c r="D601" s="276" t="s">
        <v>45</v>
      </c>
      <c r="E601" s="277" t="s">
        <v>1088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1157</v>
      </c>
      <c r="D602" s="276" t="s">
        <v>45</v>
      </c>
      <c r="E602" s="277" t="s">
        <v>1088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1158</v>
      </c>
      <c r="D603" s="276" t="s">
        <v>45</v>
      </c>
      <c r="E603" s="277" t="s">
        <v>1088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1055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1159</v>
      </c>
      <c r="D605" s="276" t="s">
        <v>45</v>
      </c>
      <c r="E605" s="277" t="s">
        <v>1088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800</v>
      </c>
      <c r="C607" s="109" t="s">
        <v>1057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1064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1065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1066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1067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1068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1069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1070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1071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1072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1073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1074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1075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1076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1077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1078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1079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1162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1080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1081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1082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1083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1084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1085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1086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1087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1102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1188</v>
      </c>
      <c r="C635" s="109" t="s">
        <v>1345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1103</v>
      </c>
      <c r="D636" s="276" t="s">
        <v>47</v>
      </c>
      <c r="E636" s="277" t="s">
        <v>1119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1104</v>
      </c>
      <c r="D637" s="276" t="s">
        <v>47</v>
      </c>
      <c r="E637" s="277" t="s">
        <v>1120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1105</v>
      </c>
      <c r="D638" s="276" t="s">
        <v>47</v>
      </c>
      <c r="E638" s="277" t="s">
        <v>1121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1106</v>
      </c>
      <c r="D639" s="276" t="s">
        <v>47</v>
      </c>
      <c r="E639" s="277" t="s">
        <v>1121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1107</v>
      </c>
      <c r="D640" s="276" t="s">
        <v>45</v>
      </c>
      <c r="E640" s="277" t="s">
        <v>1121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1108</v>
      </c>
      <c r="D641" s="276" t="s">
        <v>45</v>
      </c>
      <c r="E641" s="277" t="s">
        <v>1121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1109</v>
      </c>
      <c r="D642" s="276" t="s">
        <v>45</v>
      </c>
      <c r="E642" s="277" t="s">
        <v>1121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1110</v>
      </c>
      <c r="D643" s="276" t="s">
        <v>45</v>
      </c>
      <c r="E643" s="277" t="s">
        <v>1121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1111</v>
      </c>
      <c r="D644" s="276" t="s">
        <v>45</v>
      </c>
      <c r="E644" s="277" t="s">
        <v>1122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1189</v>
      </c>
      <c r="C646" s="109" t="s">
        <v>1112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1113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1114</v>
      </c>
      <c r="D648" s="276" t="s">
        <v>47</v>
      </c>
      <c r="E648" s="277" t="s">
        <v>1121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1115</v>
      </c>
      <c r="D649" s="276" t="s">
        <v>47</v>
      </c>
      <c r="E649" s="277" t="s">
        <v>1121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1116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1117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1190</v>
      </c>
      <c r="C653" s="109" t="s">
        <v>1118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1056</v>
      </c>
      <c r="C655" s="109" t="s">
        <v>616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617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618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619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620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621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622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623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624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625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626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627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628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629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630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631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632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633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634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635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636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637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638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639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640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641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642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643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644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645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646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647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648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649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650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651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652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653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654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655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656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657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658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659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660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661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662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663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664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665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666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667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668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669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670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671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672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673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1493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1494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1495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1496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1497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1498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1499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1500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1501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1502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1503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1504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1505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1506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1507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1508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674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675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676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677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678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679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680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681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682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683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684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685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686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687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688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689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690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691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1509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692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693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694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695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696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697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698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699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700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701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702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703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704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705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706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1510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707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708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709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1511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710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711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1512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1513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712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713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714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715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716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717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718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719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720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721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722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723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1514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724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725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726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727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728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1516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1515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729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730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731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732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1057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1058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1059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1060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1061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1062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1063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1160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1161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733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734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735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736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737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738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739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740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741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742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743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744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745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746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747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748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749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750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751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752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753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754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755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756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757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758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759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760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761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762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763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764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765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766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767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768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1163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1164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1166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1167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1168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1169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1170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769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770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771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772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475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476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477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773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774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775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776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777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1597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1123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778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769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1197</v>
      </c>
      <c r="D927" s="276" t="s">
        <v>47</v>
      </c>
      <c r="E927" s="277" t="s">
        <v>1100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1198</v>
      </c>
      <c r="D928" s="276" t="s">
        <v>47</v>
      </c>
      <c r="E928" s="277" t="s">
        <v>1100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1199</v>
      </c>
      <c r="D929" s="276" t="s">
        <v>47</v>
      </c>
      <c r="E929" s="277" t="s">
        <v>1100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1200</v>
      </c>
      <c r="D930" s="276" t="s">
        <v>47</v>
      </c>
      <c r="E930" s="277" t="s">
        <v>1100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1201</v>
      </c>
      <c r="D931" s="276" t="s">
        <v>47</v>
      </c>
      <c r="E931" s="277" t="s">
        <v>1100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1202</v>
      </c>
      <c r="D932" s="276" t="s">
        <v>47</v>
      </c>
      <c r="E932" s="277" t="s">
        <v>1100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1203</v>
      </c>
      <c r="D933" s="276" t="s">
        <v>47</v>
      </c>
      <c r="E933" s="277" t="s">
        <v>1100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1204</v>
      </c>
      <c r="D934" s="276" t="s">
        <v>47</v>
      </c>
      <c r="E934" s="277" t="s">
        <v>1100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1205</v>
      </c>
      <c r="D935" s="276" t="s">
        <v>47</v>
      </c>
      <c r="E935" s="277" t="s">
        <v>1100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1206</v>
      </c>
      <c r="D936" s="276" t="s">
        <v>47</v>
      </c>
      <c r="E936" s="277" t="s">
        <v>1100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1207</v>
      </c>
      <c r="D937" s="276" t="s">
        <v>47</v>
      </c>
      <c r="E937" s="277" t="s">
        <v>1100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1208</v>
      </c>
      <c r="D938" s="276" t="s">
        <v>47</v>
      </c>
      <c r="E938" s="277" t="s">
        <v>1100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1209</v>
      </c>
      <c r="D939" s="276" t="s">
        <v>47</v>
      </c>
      <c r="E939" s="277" t="s">
        <v>1100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1210</v>
      </c>
      <c r="D940" s="276" t="s">
        <v>47</v>
      </c>
      <c r="E940" s="277" t="s">
        <v>1100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1211</v>
      </c>
      <c r="D941" s="276" t="s">
        <v>47</v>
      </c>
      <c r="E941" s="277" t="s">
        <v>1100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1212</v>
      </c>
      <c r="D942" s="276" t="s">
        <v>47</v>
      </c>
      <c r="E942" s="277" t="s">
        <v>1100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1213</v>
      </c>
      <c r="D943" s="276" t="s">
        <v>47</v>
      </c>
      <c r="E943" s="277" t="s">
        <v>1100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1214</v>
      </c>
      <c r="D944" s="276" t="s">
        <v>47</v>
      </c>
      <c r="E944" s="277" t="s">
        <v>1100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1215</v>
      </c>
      <c r="D945" s="276" t="s">
        <v>47</v>
      </c>
      <c r="E945" s="277" t="s">
        <v>1100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1216</v>
      </c>
      <c r="D946" s="276" t="s">
        <v>47</v>
      </c>
      <c r="E946" s="277" t="s">
        <v>1100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1217</v>
      </c>
      <c r="D947" s="276" t="s">
        <v>47</v>
      </c>
      <c r="E947" s="277" t="s">
        <v>1100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1218</v>
      </c>
      <c r="D948" s="276" t="s">
        <v>47</v>
      </c>
      <c r="E948" s="277" t="s">
        <v>1100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1219</v>
      </c>
      <c r="D949" s="276" t="s">
        <v>47</v>
      </c>
      <c r="E949" s="277" t="s">
        <v>1100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1220</v>
      </c>
      <c r="D950" s="276" t="s">
        <v>47</v>
      </c>
      <c r="E950" s="277" t="s">
        <v>1100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1221</v>
      </c>
      <c r="D951" s="276" t="s">
        <v>47</v>
      </c>
      <c r="E951" s="277" t="s">
        <v>1100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1222</v>
      </c>
      <c r="D952" s="276" t="s">
        <v>47</v>
      </c>
      <c r="E952" s="277" t="s">
        <v>1100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1223</v>
      </c>
      <c r="D953" s="276" t="s">
        <v>47</v>
      </c>
      <c r="E953" s="277" t="s">
        <v>1100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1224</v>
      </c>
      <c r="D954" s="276" t="s">
        <v>47</v>
      </c>
      <c r="E954" s="277" t="s">
        <v>1100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1225</v>
      </c>
      <c r="D955" s="276" t="s">
        <v>47</v>
      </c>
      <c r="E955" s="277" t="s">
        <v>1100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1226</v>
      </c>
      <c r="D956" s="276" t="s">
        <v>47</v>
      </c>
      <c r="E956" s="277" t="s">
        <v>1100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1227</v>
      </c>
      <c r="D957" s="276" t="s">
        <v>47</v>
      </c>
      <c r="E957" s="277" t="s">
        <v>1100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1228</v>
      </c>
      <c r="D958" s="276" t="s">
        <v>47</v>
      </c>
      <c r="E958" s="277" t="s">
        <v>1100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1229</v>
      </c>
      <c r="D959" s="276" t="s">
        <v>47</v>
      </c>
      <c r="E959" s="277" t="s">
        <v>1100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1230</v>
      </c>
      <c r="D960" s="276" t="s">
        <v>47</v>
      </c>
      <c r="E960" s="277" t="s">
        <v>1100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1231</v>
      </c>
      <c r="D961" s="276" t="s">
        <v>47</v>
      </c>
      <c r="E961" s="277" t="s">
        <v>1100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1232</v>
      </c>
      <c r="D962" s="276" t="s">
        <v>47</v>
      </c>
      <c r="E962" s="277" t="s">
        <v>1100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1233</v>
      </c>
      <c r="D963" s="276" t="s">
        <v>47</v>
      </c>
      <c r="E963" s="277" t="s">
        <v>1100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1234</v>
      </c>
      <c r="D964" s="276" t="s">
        <v>47</v>
      </c>
      <c r="E964" s="277" t="s">
        <v>1100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1235</v>
      </c>
      <c r="D965" s="276" t="s">
        <v>47</v>
      </c>
      <c r="E965" s="277" t="s">
        <v>1100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1236</v>
      </c>
      <c r="D966" s="276" t="s">
        <v>47</v>
      </c>
      <c r="E966" s="277" t="s">
        <v>1100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1237</v>
      </c>
      <c r="D967" s="276" t="s">
        <v>47</v>
      </c>
      <c r="E967" s="277" t="s">
        <v>1100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1238</v>
      </c>
      <c r="D968" s="276" t="s">
        <v>47</v>
      </c>
      <c r="E968" s="277" t="s">
        <v>1100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1239</v>
      </c>
      <c r="D969" s="276" t="s">
        <v>47</v>
      </c>
      <c r="E969" s="277" t="s">
        <v>1100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1240</v>
      </c>
      <c r="D970" s="276" t="s">
        <v>47</v>
      </c>
      <c r="E970" s="277" t="s">
        <v>1100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1241</v>
      </c>
      <c r="D971" s="276" t="s">
        <v>47</v>
      </c>
      <c r="E971" s="277" t="s">
        <v>1100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1242</v>
      </c>
      <c r="D972" s="276" t="s">
        <v>47</v>
      </c>
      <c r="E972" s="277" t="s">
        <v>1100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1243</v>
      </c>
      <c r="D973" s="276" t="s">
        <v>47</v>
      </c>
      <c r="E973" s="277" t="s">
        <v>1100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1244</v>
      </c>
      <c r="D974" s="276" t="s">
        <v>47</v>
      </c>
      <c r="E974" s="277" t="s">
        <v>1100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1245</v>
      </c>
      <c r="D975" s="276" t="s">
        <v>47</v>
      </c>
      <c r="E975" s="277" t="s">
        <v>1100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1246</v>
      </c>
      <c r="D976" s="276" t="s">
        <v>47</v>
      </c>
      <c r="E976" s="277" t="s">
        <v>1100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1247</v>
      </c>
      <c r="D977" s="276" t="s">
        <v>47</v>
      </c>
      <c r="E977" s="277" t="s">
        <v>1100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1248</v>
      </c>
      <c r="D978" s="276" t="s">
        <v>47</v>
      </c>
      <c r="E978" s="277" t="s">
        <v>1100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1249</v>
      </c>
      <c r="D979" s="276" t="s">
        <v>47</v>
      </c>
      <c r="E979" s="277" t="s">
        <v>1100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1250</v>
      </c>
      <c r="D980" s="276" t="s">
        <v>47</v>
      </c>
      <c r="E980" s="277" t="s">
        <v>1100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1251</v>
      </c>
      <c r="D981" s="276" t="s">
        <v>47</v>
      </c>
      <c r="E981" s="277" t="s">
        <v>1100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778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1252</v>
      </c>
      <c r="D984" s="276" t="s">
        <v>47</v>
      </c>
      <c r="E984" s="277" t="s">
        <v>1100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1253</v>
      </c>
      <c r="D985" s="276" t="s">
        <v>47</v>
      </c>
      <c r="E985" s="277" t="s">
        <v>1100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1254</v>
      </c>
      <c r="D986" s="276" t="s">
        <v>47</v>
      </c>
      <c r="E986" s="277" t="s">
        <v>1100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1255</v>
      </c>
      <c r="D987" s="276" t="s">
        <v>47</v>
      </c>
      <c r="E987" s="277" t="s">
        <v>1100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1256</v>
      </c>
      <c r="D988" s="276" t="s">
        <v>47</v>
      </c>
      <c r="E988" s="277" t="s">
        <v>1100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1257</v>
      </c>
      <c r="D989" s="276" t="s">
        <v>47</v>
      </c>
      <c r="E989" s="277" t="s">
        <v>1100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1258</v>
      </c>
      <c r="D990" s="276" t="s">
        <v>47</v>
      </c>
      <c r="E990" s="277" t="s">
        <v>1100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530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779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780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781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782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783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784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785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786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1598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1599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1517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1518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787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1128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1129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788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789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790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791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792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793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1092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1519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1520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1521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1522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1523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794</v>
      </c>
      <c r="D1049" s="276" t="s">
        <v>47</v>
      </c>
      <c r="E1049" s="277" t="s">
        <v>795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796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797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798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799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1165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1524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1600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801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617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802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803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804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805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806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807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808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809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810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811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812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813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814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815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816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817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818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819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820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821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822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639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823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824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825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826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827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828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829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830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831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832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833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834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835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836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837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838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839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840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841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842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843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844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845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846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847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848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849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850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851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852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853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854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855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856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674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857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858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859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860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861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862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681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863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864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865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866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867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868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869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870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871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872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873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874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875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876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877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878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879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880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881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882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883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884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885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886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887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888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889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890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891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892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893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894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895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896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897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898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899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900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901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721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902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903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904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905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906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907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908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909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910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911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912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913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1057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1171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1172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1173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1174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1175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1176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1177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1178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733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914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915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916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917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918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919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920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921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922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923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924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925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926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927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928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929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930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931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932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933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934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935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936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937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938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939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940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941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942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943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944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945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946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947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948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1179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1180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1181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1166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1182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1183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1184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1185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769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949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950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951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952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953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954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955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956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957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958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959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1124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778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769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1259</v>
      </c>
      <c r="D1309" s="276" t="s">
        <v>47</v>
      </c>
      <c r="E1309" s="277" t="s">
        <v>1100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1260</v>
      </c>
      <c r="D1310" s="276" t="s">
        <v>47</v>
      </c>
      <c r="E1310" s="277" t="s">
        <v>1100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1261</v>
      </c>
      <c r="D1311" s="276" t="s">
        <v>47</v>
      </c>
      <c r="E1311" s="277" t="s">
        <v>1100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1262</v>
      </c>
      <c r="D1312" s="276" t="s">
        <v>47</v>
      </c>
      <c r="E1312" s="277" t="s">
        <v>1100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1263</v>
      </c>
      <c r="D1313" s="276" t="s">
        <v>47</v>
      </c>
      <c r="E1313" s="277" t="s">
        <v>1100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1264</v>
      </c>
      <c r="D1314" s="276" t="s">
        <v>47</v>
      </c>
      <c r="E1314" s="277" t="s">
        <v>1100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1265</v>
      </c>
      <c r="D1315" s="276" t="s">
        <v>47</v>
      </c>
      <c r="E1315" s="277" t="s">
        <v>1100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1266</v>
      </c>
      <c r="D1316" s="276" t="s">
        <v>47</v>
      </c>
      <c r="E1316" s="277" t="s">
        <v>1100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1267</v>
      </c>
      <c r="D1317" s="276" t="s">
        <v>47</v>
      </c>
      <c r="E1317" s="277" t="s">
        <v>1100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1268</v>
      </c>
      <c r="D1318" s="276" t="s">
        <v>47</v>
      </c>
      <c r="E1318" s="277" t="s">
        <v>1100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1269</v>
      </c>
      <c r="D1319" s="276" t="s">
        <v>47</v>
      </c>
      <c r="E1319" s="277" t="s">
        <v>1100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1270</v>
      </c>
      <c r="D1320" s="276" t="s">
        <v>47</v>
      </c>
      <c r="E1320" s="277" t="s">
        <v>1100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1271</v>
      </c>
      <c r="D1321" s="276" t="s">
        <v>47</v>
      </c>
      <c r="E1321" s="277" t="s">
        <v>1100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1272</v>
      </c>
      <c r="D1322" s="276" t="s">
        <v>47</v>
      </c>
      <c r="E1322" s="277" t="s">
        <v>1100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1273</v>
      </c>
      <c r="D1323" s="276" t="s">
        <v>47</v>
      </c>
      <c r="E1323" s="277" t="s">
        <v>1100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1274</v>
      </c>
      <c r="D1324" s="276" t="s">
        <v>47</v>
      </c>
      <c r="E1324" s="277" t="s">
        <v>1100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1275</v>
      </c>
      <c r="D1325" s="276" t="s">
        <v>47</v>
      </c>
      <c r="E1325" s="277" t="s">
        <v>1100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1276</v>
      </c>
      <c r="D1326" s="276" t="s">
        <v>47</v>
      </c>
      <c r="E1326" s="277" t="s">
        <v>1100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1277</v>
      </c>
      <c r="D1327" s="276" t="s">
        <v>47</v>
      </c>
      <c r="E1327" s="277" t="s">
        <v>1100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1278</v>
      </c>
      <c r="D1328" s="276" t="s">
        <v>47</v>
      </c>
      <c r="E1328" s="277" t="s">
        <v>1100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1279</v>
      </c>
      <c r="D1329" s="276" t="s">
        <v>47</v>
      </c>
      <c r="E1329" s="277" t="s">
        <v>1100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1280</v>
      </c>
      <c r="D1330" s="276" t="s">
        <v>47</v>
      </c>
      <c r="E1330" s="277" t="s">
        <v>1100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1281</v>
      </c>
      <c r="D1331" s="276" t="s">
        <v>47</v>
      </c>
      <c r="E1331" s="277" t="s">
        <v>1100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1282</v>
      </c>
      <c r="D1332" s="276" t="s">
        <v>47</v>
      </c>
      <c r="E1332" s="277" t="s">
        <v>1100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1283</v>
      </c>
      <c r="D1333" s="276" t="s">
        <v>47</v>
      </c>
      <c r="E1333" s="277" t="s">
        <v>1100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1284</v>
      </c>
      <c r="D1334" s="276" t="s">
        <v>47</v>
      </c>
      <c r="E1334" s="277" t="s">
        <v>1100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1285</v>
      </c>
      <c r="D1335" s="276" t="s">
        <v>47</v>
      </c>
      <c r="E1335" s="277" t="s">
        <v>1100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1286</v>
      </c>
      <c r="D1336" s="276" t="s">
        <v>47</v>
      </c>
      <c r="E1336" s="277" t="s">
        <v>1100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1287</v>
      </c>
      <c r="D1337" s="276" t="s">
        <v>47</v>
      </c>
      <c r="E1337" s="277" t="s">
        <v>1100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1288</v>
      </c>
      <c r="D1338" s="276" t="s">
        <v>47</v>
      </c>
      <c r="E1338" s="277" t="s">
        <v>1100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1289</v>
      </c>
      <c r="D1339" s="276" t="s">
        <v>47</v>
      </c>
      <c r="E1339" s="277" t="s">
        <v>1100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1290</v>
      </c>
      <c r="D1340" s="276" t="s">
        <v>47</v>
      </c>
      <c r="E1340" s="277" t="s">
        <v>1100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1291</v>
      </c>
      <c r="D1341" s="276" t="s">
        <v>47</v>
      </c>
      <c r="E1341" s="277" t="s">
        <v>1100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1292</v>
      </c>
      <c r="D1342" s="276" t="s">
        <v>47</v>
      </c>
      <c r="E1342" s="277" t="s">
        <v>1100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1293</v>
      </c>
      <c r="D1343" s="276" t="s">
        <v>47</v>
      </c>
      <c r="E1343" s="277" t="s">
        <v>1100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1294</v>
      </c>
      <c r="D1344" s="276" t="s">
        <v>47</v>
      </c>
      <c r="E1344" s="277" t="s">
        <v>1100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1295</v>
      </c>
      <c r="D1345" s="276" t="s">
        <v>47</v>
      </c>
      <c r="E1345" s="277" t="s">
        <v>1100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1296</v>
      </c>
      <c r="D1346" s="276" t="s">
        <v>47</v>
      </c>
      <c r="E1346" s="277" t="s">
        <v>1100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1297</v>
      </c>
      <c r="D1347" s="276" t="s">
        <v>47</v>
      </c>
      <c r="E1347" s="277" t="s">
        <v>1100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1298</v>
      </c>
      <c r="D1348" s="276" t="s">
        <v>47</v>
      </c>
      <c r="E1348" s="277" t="s">
        <v>1100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1299</v>
      </c>
      <c r="D1349" s="276" t="s">
        <v>47</v>
      </c>
      <c r="E1349" s="277" t="s">
        <v>1100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1300</v>
      </c>
      <c r="D1350" s="276" t="s">
        <v>47</v>
      </c>
      <c r="E1350" s="277" t="s">
        <v>1100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1301</v>
      </c>
      <c r="D1351" s="276" t="s">
        <v>47</v>
      </c>
      <c r="E1351" s="277" t="s">
        <v>1100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1302</v>
      </c>
      <c r="D1352" s="276" t="s">
        <v>47</v>
      </c>
      <c r="E1352" s="277" t="s">
        <v>1100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1303</v>
      </c>
      <c r="D1353" s="276" t="s">
        <v>47</v>
      </c>
      <c r="E1353" s="277" t="s">
        <v>1100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1304</v>
      </c>
      <c r="D1354" s="276" t="s">
        <v>47</v>
      </c>
      <c r="E1354" s="277" t="s">
        <v>1100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1305</v>
      </c>
      <c r="D1355" s="276" t="s">
        <v>47</v>
      </c>
      <c r="E1355" s="277" t="s">
        <v>1100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1306</v>
      </c>
      <c r="D1356" s="276" t="s">
        <v>47</v>
      </c>
      <c r="E1356" s="277" t="s">
        <v>1100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1307</v>
      </c>
      <c r="D1357" s="276" t="s">
        <v>47</v>
      </c>
      <c r="E1357" s="277" t="s">
        <v>1100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1308</v>
      </c>
      <c r="D1358" s="276" t="s">
        <v>47</v>
      </c>
      <c r="E1358" s="277" t="s">
        <v>1100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1309</v>
      </c>
      <c r="D1359" s="276" t="s">
        <v>47</v>
      </c>
      <c r="E1359" s="277" t="s">
        <v>1100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1310</v>
      </c>
      <c r="D1360" s="276" t="s">
        <v>47</v>
      </c>
      <c r="E1360" s="277" t="s">
        <v>1100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1311</v>
      </c>
      <c r="D1361" s="276" t="s">
        <v>47</v>
      </c>
      <c r="E1361" s="277" t="s">
        <v>1100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1312</v>
      </c>
      <c r="D1362" s="276" t="s">
        <v>47</v>
      </c>
      <c r="E1362" s="277" t="s">
        <v>1100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1313</v>
      </c>
      <c r="D1363" s="276" t="s">
        <v>47</v>
      </c>
      <c r="E1363" s="277" t="s">
        <v>1100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778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1314</v>
      </c>
      <c r="D1366" s="276" t="s">
        <v>47</v>
      </c>
      <c r="E1366" s="277" t="s">
        <v>1100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1315</v>
      </c>
      <c r="D1367" s="276" t="s">
        <v>47</v>
      </c>
      <c r="E1367" s="277" t="s">
        <v>1100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1316</v>
      </c>
      <c r="D1368" s="276" t="s">
        <v>47</v>
      </c>
      <c r="E1368" s="277" t="s">
        <v>1100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1317</v>
      </c>
      <c r="D1369" s="276" t="s">
        <v>47</v>
      </c>
      <c r="E1369" s="277" t="s">
        <v>1100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1318</v>
      </c>
      <c r="D1370" s="276" t="s">
        <v>47</v>
      </c>
      <c r="E1370" s="277" t="s">
        <v>1100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1319</v>
      </c>
      <c r="D1371" s="276" t="s">
        <v>47</v>
      </c>
      <c r="E1371" s="277" t="s">
        <v>1100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1320</v>
      </c>
      <c r="D1372" s="276" t="s">
        <v>47</v>
      </c>
      <c r="E1372" s="277" t="s">
        <v>1100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530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960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961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962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963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964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965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966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967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968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787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1130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1131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788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1093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969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970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971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972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973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974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975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976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977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978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979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1094</v>
      </c>
      <c r="D1433" s="276" t="s">
        <v>47</v>
      </c>
      <c r="E1433" s="277" t="s">
        <v>473</v>
      </c>
      <c r="F1433" s="469">
        <v>2740</v>
      </c>
      <c r="G1433" s="469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796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980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981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982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1186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1187</v>
      </c>
      <c r="C1443" s="109" t="s">
        <v>1002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1089</v>
      </c>
      <c r="D1444" s="276" t="s">
        <v>47</v>
      </c>
      <c r="E1444" s="277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76" t="s">
        <v>47</v>
      </c>
      <c r="E1445" s="277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1095</v>
      </c>
      <c r="D1447" s="276" t="s">
        <v>47</v>
      </c>
      <c r="E1447" s="277" t="s">
        <v>1101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1096</v>
      </c>
      <c r="D1448" s="276" t="s">
        <v>47</v>
      </c>
      <c r="E1448" s="277" t="s">
        <v>1101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1097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1098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1099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1403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1404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1405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1406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1407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1408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1409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1410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1411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1412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1413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1414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1415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1416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1417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1418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1419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1420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1421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1422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1423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0" t="s">
        <v>1424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0" t="s">
        <v>1425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0" t="s">
        <v>1426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0" t="s">
        <v>1427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1428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1429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0" t="s">
        <v>1429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1430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1431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1432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1433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1434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1435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1436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7" priority="138" operator="equal">
      <formula>0</formula>
    </cfRule>
  </conditionalFormatting>
  <conditionalFormatting sqref="B8:C135">
    <cfRule type="cellIs" dxfId="26" priority="51" operator="equal">
      <formula>0</formula>
    </cfRule>
  </conditionalFormatting>
  <conditionalFormatting sqref="B150:G1493">
    <cfRule type="cellIs" dxfId="25" priority="1" operator="equal">
      <formula>0</formula>
    </cfRule>
  </conditionalFormatting>
  <conditionalFormatting sqref="C143:G149">
    <cfRule type="cellIs" dxfId="24" priority="5" operator="equal">
      <formula>0</formula>
    </cfRule>
  </conditionalFormatting>
  <conditionalFormatting sqref="D9:G142">
    <cfRule type="cellIs" dxfId="23" priority="11" operator="equal">
      <formula>0</formula>
    </cfRule>
  </conditionalFormatting>
  <conditionalFormatting sqref="D1:IV5 A1:C7 D6:K6 H1455:IV1457 H1458:XFD1485 H1486:H1493 I1486:XFD1494 A1494:H1494 A1495:XFD65536">
    <cfRule type="cellIs" dxfId="22" priority="163" operator="equal">
      <formula>0</formula>
    </cfRule>
  </conditionalFormatting>
  <conditionalFormatting sqref="D7:IV8 C136:C142 B136:B149">
    <cfRule type="cellIs" dxfId="21" priority="62" operator="equal">
      <formula>0</formula>
    </cfRule>
  </conditionalFormatting>
  <conditionalFormatting sqref="H9:H1418">
    <cfRule type="cellIs" dxfId="20" priority="129" operator="equal">
      <formula>0</formula>
    </cfRule>
  </conditionalFormatting>
  <conditionalFormatting sqref="H1419:I1454">
    <cfRule type="cellIs" dxfId="19" priority="128" operator="equal">
      <formula>0</formula>
    </cfRule>
  </conditionalFormatting>
  <conditionalFormatting sqref="I108:I1418">
    <cfRule type="cellIs" dxfId="18" priority="125" operator="equal">
      <formula>0</formula>
    </cfRule>
  </conditionalFormatting>
  <conditionalFormatting sqref="J108:IV1454">
    <cfRule type="cellIs" dxfId="17" priority="139" operator="equal">
      <formula>0</formula>
    </cfRule>
  </conditionalFormatting>
  <conditionalFormatting sqref="M6:IV6">
    <cfRule type="cellIs" dxfId="1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55" zoomScaleNormal="55" zoomScaleSheetLayoutView="85" workbookViewId="0">
      <selection activeCell="O19" sqref="O19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6" t="s">
        <v>1452</v>
      </c>
      <c r="C2" s="576"/>
      <c r="D2" s="576"/>
      <c r="E2" s="576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81" t="s">
        <v>1530</v>
      </c>
      <c r="C4" s="582"/>
      <c r="D4" s="582"/>
      <c r="E4" s="583"/>
      <c r="F4" s="427"/>
      <c r="G4" s="427"/>
      <c r="H4" s="428"/>
      <c r="I4" s="545" t="s">
        <v>1531</v>
      </c>
      <c r="J4" s="546"/>
      <c r="K4" s="546"/>
      <c r="L4" s="547"/>
    </row>
    <row r="5" spans="1:12" ht="34.5" customHeight="1">
      <c r="A5" s="204"/>
      <c r="B5" s="430" t="s">
        <v>1377</v>
      </c>
      <c r="C5" s="274" t="s">
        <v>9</v>
      </c>
      <c r="D5" s="577" t="str">
        <f>DATA!D14</f>
        <v>CRBC WIKA-PP JO</v>
      </c>
      <c r="E5" s="578"/>
      <c r="F5" s="208"/>
      <c r="G5" s="208"/>
      <c r="I5" s="431" t="s">
        <v>1377</v>
      </c>
      <c r="J5" s="274" t="s">
        <v>9</v>
      </c>
      <c r="K5" s="548" t="str">
        <f>D5</f>
        <v>CRBC WIKA-PP JO</v>
      </c>
      <c r="L5" s="549"/>
    </row>
    <row r="6" spans="1:12" ht="31.5" customHeight="1">
      <c r="A6" s="204"/>
      <c r="B6" s="430" t="s">
        <v>1527</v>
      </c>
      <c r="C6" s="274" t="s">
        <v>9</v>
      </c>
      <c r="D6" s="586">
        <f>DATA!D17*1000</f>
        <v>0</v>
      </c>
      <c r="E6" s="587"/>
      <c r="F6" s="208"/>
      <c r="G6" s="208"/>
      <c r="I6" s="431" t="s">
        <v>1528</v>
      </c>
      <c r="J6" s="274" t="s">
        <v>9</v>
      </c>
      <c r="K6" s="550">
        <f>DATA!D20*1000</f>
        <v>53000</v>
      </c>
      <c r="L6" s="551"/>
    </row>
    <row r="7" spans="1:12" ht="30.75" customHeight="1">
      <c r="A7" s="204"/>
      <c r="B7" s="430" t="s">
        <v>1439</v>
      </c>
      <c r="C7" s="274" t="s">
        <v>9</v>
      </c>
      <c r="D7" s="584">
        <f>DATA!D18</f>
        <v>1</v>
      </c>
      <c r="E7" s="585"/>
      <c r="F7" s="429" t="s">
        <v>1451</v>
      </c>
      <c r="I7" s="431" t="s">
        <v>1439</v>
      </c>
      <c r="J7" s="274" t="s">
        <v>9</v>
      </c>
      <c r="K7" s="552">
        <f>DATA!D21</f>
        <v>3</v>
      </c>
      <c r="L7" s="553"/>
    </row>
    <row r="8" spans="1:12" ht="51" customHeight="1">
      <c r="A8" s="204"/>
      <c r="B8" s="430" t="s">
        <v>1440</v>
      </c>
      <c r="C8" s="274" t="s">
        <v>9</v>
      </c>
      <c r="D8" s="584">
        <f>DATA!D19</f>
        <v>220</v>
      </c>
      <c r="E8" s="585"/>
      <c r="F8" s="429" t="s">
        <v>1451</v>
      </c>
      <c r="G8" s="424">
        <v>220</v>
      </c>
      <c r="I8" s="431" t="s">
        <v>1440</v>
      </c>
      <c r="J8" s="274" t="s">
        <v>9</v>
      </c>
      <c r="K8" s="552">
        <f>DATA!D22</f>
        <v>380</v>
      </c>
      <c r="L8" s="553"/>
    </row>
    <row r="9" spans="1:12" ht="30" customHeight="1" thickBot="1">
      <c r="A9" s="204"/>
      <c r="B9" s="436" t="s">
        <v>1539</v>
      </c>
      <c r="C9" s="426" t="s">
        <v>9</v>
      </c>
      <c r="D9" s="579">
        <f>IF(D7=1,D6/(380/3^0.5),(D6/(380*3^0.5)))</f>
        <v>0</v>
      </c>
      <c r="E9" s="580"/>
      <c r="F9" s="207"/>
      <c r="G9" s="425">
        <v>380</v>
      </c>
      <c r="I9" s="437" t="s">
        <v>1539</v>
      </c>
      <c r="J9" s="426" t="s">
        <v>9</v>
      </c>
      <c r="K9" s="556">
        <f>IF(K7=1,K6/(380/3^0.5),(K6/(380*3^0.5)))</f>
        <v>80.525169123816227</v>
      </c>
      <c r="L9" s="557"/>
    </row>
    <row r="10" spans="1:12" ht="24.75" customHeight="1">
      <c r="B10" s="438"/>
      <c r="C10" s="435"/>
      <c r="D10" s="439"/>
      <c r="E10" s="439"/>
      <c r="F10" s="207"/>
      <c r="G10" s="425"/>
      <c r="I10" s="438"/>
      <c r="J10" s="435"/>
      <c r="K10" s="439"/>
      <c r="L10" s="439"/>
    </row>
    <row r="11" spans="1:12" ht="16.5" thickBot="1">
      <c r="B11" s="432" t="s">
        <v>1540</v>
      </c>
      <c r="I11" s="432" t="s">
        <v>1534</v>
      </c>
    </row>
    <row r="12" spans="1:12" ht="34.5" customHeight="1">
      <c r="A12" s="204"/>
      <c r="B12" s="460" t="s">
        <v>1532</v>
      </c>
      <c r="C12" s="454" t="s">
        <v>9</v>
      </c>
      <c r="D12" s="588" t="s">
        <v>1614</v>
      </c>
      <c r="E12" s="589"/>
      <c r="F12" s="208"/>
      <c r="G12" s="208"/>
      <c r="I12" s="453" t="s">
        <v>1532</v>
      </c>
      <c r="J12" s="454" t="s">
        <v>9</v>
      </c>
      <c r="K12" s="590"/>
      <c r="L12" s="591"/>
    </row>
    <row r="13" spans="1:12" ht="31.5" customHeight="1">
      <c r="A13" s="204"/>
      <c r="B13" s="461" t="s">
        <v>1378</v>
      </c>
      <c r="C13" s="441" t="s">
        <v>9</v>
      </c>
      <c r="D13" s="594" t="s">
        <v>1615</v>
      </c>
      <c r="E13" s="595"/>
      <c r="F13" s="208"/>
      <c r="G13" s="208"/>
      <c r="I13" s="455" t="s">
        <v>1378</v>
      </c>
      <c r="J13" s="441" t="s">
        <v>9</v>
      </c>
      <c r="K13" s="554"/>
      <c r="L13" s="555"/>
    </row>
    <row r="14" spans="1:12" ht="30.75" customHeight="1">
      <c r="A14" s="204"/>
      <c r="B14" s="461" t="s">
        <v>1533</v>
      </c>
      <c r="C14" s="441" t="s">
        <v>9</v>
      </c>
      <c r="D14" s="558">
        <v>250</v>
      </c>
      <c r="E14" s="559"/>
      <c r="F14" s="429" t="s">
        <v>1451</v>
      </c>
      <c r="G14" s="433">
        <v>50</v>
      </c>
      <c r="I14" s="455" t="s">
        <v>1533</v>
      </c>
      <c r="J14" s="441" t="s">
        <v>9</v>
      </c>
      <c r="K14" s="560">
        <v>100</v>
      </c>
      <c r="L14" s="561"/>
    </row>
    <row r="15" spans="1:12" ht="57" customHeight="1">
      <c r="A15" s="204"/>
      <c r="B15" s="461" t="s">
        <v>1439</v>
      </c>
      <c r="C15" s="441" t="s">
        <v>9</v>
      </c>
      <c r="D15" s="447">
        <v>3</v>
      </c>
      <c r="E15" s="456"/>
      <c r="F15" s="429" t="s">
        <v>1451</v>
      </c>
      <c r="G15" s="433">
        <v>100</v>
      </c>
      <c r="I15" s="455" t="s">
        <v>1439</v>
      </c>
      <c r="J15" s="441" t="s">
        <v>9</v>
      </c>
      <c r="K15" s="447">
        <v>3</v>
      </c>
      <c r="L15" s="456"/>
    </row>
    <row r="16" spans="1:12" ht="44.25" customHeight="1">
      <c r="A16" s="204"/>
      <c r="B16" s="461" t="s">
        <v>1543</v>
      </c>
      <c r="C16" s="441"/>
      <c r="D16" s="562">
        <v>300</v>
      </c>
      <c r="E16" s="563"/>
      <c r="F16" s="429"/>
      <c r="G16" s="433">
        <v>160</v>
      </c>
      <c r="I16" s="455" t="s">
        <v>1535</v>
      </c>
      <c r="J16" s="441" t="s">
        <v>9</v>
      </c>
      <c r="K16" s="566">
        <f>K9</f>
        <v>80.525169123816227</v>
      </c>
      <c r="L16" s="567"/>
    </row>
    <row r="17" spans="1:12" ht="34.5" customHeight="1">
      <c r="A17" s="204"/>
      <c r="B17" s="461" t="s">
        <v>1536</v>
      </c>
      <c r="C17" s="441" t="s">
        <v>9</v>
      </c>
      <c r="D17" s="564">
        <f>IF(D15=1,D14/(20/3^0.5),(D14/(20*3^0.5)))</f>
        <v>7.2168783648703227</v>
      </c>
      <c r="E17" s="565"/>
      <c r="F17" s="429" t="s">
        <v>1451</v>
      </c>
      <c r="G17" s="434">
        <v>200</v>
      </c>
      <c r="I17" s="455" t="s">
        <v>1536</v>
      </c>
      <c r="J17" s="441" t="s">
        <v>9</v>
      </c>
      <c r="K17" s="570">
        <f>IF(K15=1,K14/(20/3^0.5),(K14/(20*3^0.5)))</f>
        <v>2.8867513459481291</v>
      </c>
      <c r="L17" s="571"/>
    </row>
    <row r="18" spans="1:12" ht="34.5" customHeight="1">
      <c r="A18" s="204"/>
      <c r="B18" s="461" t="s">
        <v>1537</v>
      </c>
      <c r="C18" s="441" t="s">
        <v>9</v>
      </c>
      <c r="D18" s="564">
        <f>IF(D15=1,D14/(380/3^0.5),(D14/(380*3^0.5)))*1000</f>
        <v>379.83570341422751</v>
      </c>
      <c r="E18" s="565"/>
      <c r="F18" s="429" t="s">
        <v>1451</v>
      </c>
      <c r="G18" s="434">
        <v>250</v>
      </c>
      <c r="I18" s="455" t="s">
        <v>1537</v>
      </c>
      <c r="J18" s="441" t="s">
        <v>9</v>
      </c>
      <c r="K18" s="570">
        <f>IF(K15=1,K14/(380/3^0.5),(K14/(380*3^0.5)))*1000</f>
        <v>151.93428136569102</v>
      </c>
      <c r="L18" s="571"/>
    </row>
    <row r="19" spans="1:12" ht="30" customHeight="1">
      <c r="A19" s="204"/>
      <c r="B19" s="462" t="s">
        <v>1529</v>
      </c>
      <c r="C19" s="440" t="s">
        <v>9</v>
      </c>
      <c r="D19" s="564">
        <f>IF(D15=1,D14/(380/3^0.5),(D14/(380*3^0.5)))</f>
        <v>0.37983570341422751</v>
      </c>
      <c r="E19" s="565"/>
      <c r="F19" s="207"/>
      <c r="G19" s="425"/>
      <c r="I19" s="457" t="s">
        <v>1529</v>
      </c>
      <c r="J19" s="440" t="s">
        <v>9</v>
      </c>
      <c r="K19" s="570">
        <f>IF(K15=1,K14/(380/3^0.5),(K14/(380*3^0.5)))</f>
        <v>0.15193428136569101</v>
      </c>
      <c r="L19" s="571"/>
    </row>
    <row r="20" spans="1:12" ht="30" customHeight="1" thickBot="1">
      <c r="A20" s="204"/>
      <c r="B20" s="463" t="s">
        <v>1538</v>
      </c>
      <c r="C20" s="459" t="s">
        <v>9</v>
      </c>
      <c r="D20" s="592">
        <f>D16/D18</f>
        <v>0.78981516825140796</v>
      </c>
      <c r="E20" s="593"/>
      <c r="F20" s="207"/>
      <c r="G20" s="425"/>
      <c r="I20" s="458" t="s">
        <v>1529</v>
      </c>
      <c r="J20" s="459" t="s">
        <v>9</v>
      </c>
      <c r="K20" s="568">
        <f>K16/K18</f>
        <v>0.52999999999999992</v>
      </c>
      <c r="L20" s="569"/>
    </row>
    <row r="21" spans="1:12" ht="9.75" customHeight="1">
      <c r="A21" s="204"/>
      <c r="B21" s="448" t="s">
        <v>1538</v>
      </c>
      <c r="C21" s="449" t="s">
        <v>9</v>
      </c>
      <c r="D21" s="575">
        <v>1</v>
      </c>
      <c r="E21" s="575"/>
      <c r="F21" s="450"/>
      <c r="G21" s="451"/>
      <c r="H21" s="452"/>
      <c r="I21" s="448" t="s">
        <v>1529</v>
      </c>
      <c r="J21" s="449" t="s">
        <v>9</v>
      </c>
      <c r="K21" s="575">
        <v>1</v>
      </c>
      <c r="L21" s="575"/>
    </row>
    <row r="22" spans="1:12" ht="6.75" customHeight="1">
      <c r="B22" s="438"/>
      <c r="C22" s="435"/>
      <c r="D22" s="446"/>
      <c r="E22" s="446"/>
      <c r="F22" s="207"/>
      <c r="G22" s="425"/>
      <c r="J22" s="435"/>
      <c r="K22" s="446"/>
      <c r="L22" s="446"/>
    </row>
    <row r="23" spans="1:12" ht="15.75" thickBot="1"/>
    <row r="24" spans="1:12" ht="200.25" customHeight="1" thickBot="1">
      <c r="B24" s="572"/>
      <c r="C24" s="573"/>
      <c r="D24" s="573"/>
      <c r="E24" s="574"/>
      <c r="I24" s="572"/>
      <c r="J24" s="573"/>
      <c r="K24" s="573"/>
      <c r="L24" s="574"/>
    </row>
    <row r="26" spans="1:12">
      <c r="D26" s="443"/>
    </row>
    <row r="27" spans="1:12">
      <c r="D27" s="444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D25" sqref="D25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96"/>
      <c r="C1" s="596"/>
      <c r="D1" s="596"/>
    </row>
    <row r="2" spans="2:11" ht="15.75" customHeight="1">
      <c r="B2" s="285" t="s">
        <v>1441</v>
      </c>
      <c r="C2" s="286"/>
      <c r="D2" s="287"/>
    </row>
    <row r="3" spans="2:11" ht="20.100000000000001" customHeight="1">
      <c r="B3" s="288" t="s">
        <v>1347</v>
      </c>
      <c r="C3" s="289" t="s">
        <v>9</v>
      </c>
      <c r="D3" s="290">
        <v>2022</v>
      </c>
    </row>
    <row r="4" spans="2:11" ht="20.100000000000001" customHeight="1">
      <c r="B4" s="288" t="s">
        <v>1029</v>
      </c>
      <c r="C4" s="289" t="s">
        <v>9</v>
      </c>
      <c r="D4" s="291">
        <v>0.12</v>
      </c>
    </row>
    <row r="5" spans="2:11" ht="20.100000000000001" customHeight="1">
      <c r="B5" s="288" t="s">
        <v>1348</v>
      </c>
      <c r="C5" s="289" t="s">
        <v>9</v>
      </c>
      <c r="D5" s="472">
        <v>1084.1250458865841</v>
      </c>
      <c r="F5" s="467" t="s">
        <v>1603</v>
      </c>
      <c r="K5" s="466"/>
    </row>
    <row r="6" spans="2:11" ht="20.100000000000001" customHeight="1">
      <c r="B6" s="288" t="s">
        <v>1349</v>
      </c>
      <c r="C6" s="289" t="s">
        <v>9</v>
      </c>
      <c r="D6" s="293">
        <v>25</v>
      </c>
      <c r="F6" s="467"/>
    </row>
    <row r="7" spans="2:11" ht="20.100000000000001" customHeight="1">
      <c r="B7" s="288" t="s">
        <v>1350</v>
      </c>
      <c r="C7" s="289" t="s">
        <v>9</v>
      </c>
      <c r="D7" s="294">
        <v>2.2499999999999999E-2</v>
      </c>
    </row>
    <row r="8" spans="2:11" ht="20.100000000000001" customHeight="1">
      <c r="B8" s="288" t="s">
        <v>1442</v>
      </c>
      <c r="C8" s="289" t="s">
        <v>9</v>
      </c>
      <c r="D8" s="295">
        <f>D20-D17</f>
        <v>53</v>
      </c>
    </row>
    <row r="9" spans="2:11" ht="20.100000000000001" customHeight="1">
      <c r="B9" s="288" t="s">
        <v>1443</v>
      </c>
      <c r="C9" s="289" t="s">
        <v>9</v>
      </c>
      <c r="D9" s="295">
        <f>(D8*D25)*1000</f>
        <v>51357000</v>
      </c>
    </row>
    <row r="10" spans="2:11" ht="20.100000000000001" customHeight="1">
      <c r="B10" s="288" t="s">
        <v>1444</v>
      </c>
      <c r="C10" s="289" t="s">
        <v>9</v>
      </c>
      <c r="D10" s="295">
        <f ca="1">RAB!K110</f>
        <v>90936403.596749991</v>
      </c>
    </row>
    <row r="11" spans="2:11" ht="20.100000000000001" customHeight="1">
      <c r="B11" s="288" t="s">
        <v>1354</v>
      </c>
      <c r="C11" s="289" t="s">
        <v>9</v>
      </c>
      <c r="D11" s="292">
        <f ca="1">2%*D10</f>
        <v>1818728.0719349999</v>
      </c>
    </row>
    <row r="12" spans="2:11" ht="9" customHeight="1">
      <c r="B12" s="597"/>
      <c r="C12" s="597"/>
      <c r="D12" s="597"/>
    </row>
    <row r="13" spans="2:11" ht="15.75" customHeight="1">
      <c r="B13" s="296"/>
      <c r="C13" s="296"/>
      <c r="D13" s="296"/>
    </row>
    <row r="14" spans="2:11" ht="33.75" customHeight="1">
      <c r="B14" s="400" t="s">
        <v>1377</v>
      </c>
      <c r="C14" s="401" t="s">
        <v>9</v>
      </c>
      <c r="D14" s="406" t="s">
        <v>1616</v>
      </c>
      <c r="E14" s="297" t="s">
        <v>1451</v>
      </c>
    </row>
    <row r="15" spans="2:11" ht="20.100000000000001" customHeight="1">
      <c r="B15" s="402" t="s">
        <v>1445</v>
      </c>
      <c r="C15" s="403" t="s">
        <v>9</v>
      </c>
      <c r="D15" s="407" t="s">
        <v>1617</v>
      </c>
      <c r="E15" s="297" t="s">
        <v>1451</v>
      </c>
    </row>
    <row r="16" spans="2:11" ht="20.100000000000001" customHeight="1">
      <c r="B16" s="402" t="s">
        <v>1446</v>
      </c>
      <c r="C16" s="403" t="s">
        <v>9</v>
      </c>
      <c r="D16" s="407" t="s">
        <v>1449</v>
      </c>
      <c r="E16" s="297" t="s">
        <v>1451</v>
      </c>
    </row>
    <row r="17" spans="2:5" ht="20.100000000000001" customHeight="1">
      <c r="B17" s="402" t="s">
        <v>1447</v>
      </c>
      <c r="C17" s="403" t="s">
        <v>9</v>
      </c>
      <c r="D17" s="408">
        <v>0</v>
      </c>
      <c r="E17" s="297" t="s">
        <v>1451</v>
      </c>
    </row>
    <row r="18" spans="2:5" ht="20.100000000000001" hidden="1" customHeight="1">
      <c r="B18" s="402" t="s">
        <v>1541</v>
      </c>
      <c r="C18" s="403"/>
      <c r="D18" s="408">
        <f>IF((D17&lt;=11),1,3)</f>
        <v>1</v>
      </c>
      <c r="E18" s="297"/>
    </row>
    <row r="19" spans="2:5" ht="20.100000000000001" hidden="1" customHeight="1">
      <c r="B19" s="402" t="s">
        <v>1542</v>
      </c>
      <c r="C19" s="403"/>
      <c r="D19" s="408">
        <f>IF((D17&lt;=11),220,380)</f>
        <v>220</v>
      </c>
      <c r="E19" s="297"/>
    </row>
    <row r="20" spans="2:5" ht="20.100000000000001" customHeight="1">
      <c r="B20" s="402" t="s">
        <v>1448</v>
      </c>
      <c r="C20" s="403" t="s">
        <v>9</v>
      </c>
      <c r="D20" s="408">
        <v>53</v>
      </c>
      <c r="E20" s="297" t="s">
        <v>1451</v>
      </c>
    </row>
    <row r="21" spans="2:5" ht="20.100000000000001" hidden="1" customHeight="1">
      <c r="B21" s="402" t="s">
        <v>1541</v>
      </c>
      <c r="C21" s="403"/>
      <c r="D21" s="408">
        <f>IF((D20&lt;=11),1,3)</f>
        <v>3</v>
      </c>
      <c r="E21" s="297"/>
    </row>
    <row r="22" spans="2:5" ht="20.100000000000001" hidden="1" customHeight="1">
      <c r="B22" s="402" t="s">
        <v>1542</v>
      </c>
      <c r="C22" s="403"/>
      <c r="D22" s="408">
        <f>IF((D20&lt;=11),220,380)</f>
        <v>380</v>
      </c>
      <c r="E22" s="297"/>
    </row>
    <row r="23" spans="2:5" ht="20.100000000000001" customHeight="1">
      <c r="B23" s="402" t="s">
        <v>1351</v>
      </c>
      <c r="C23" s="403" t="s">
        <v>9</v>
      </c>
      <c r="D23" s="407">
        <v>1447</v>
      </c>
      <c r="E23" s="297" t="s">
        <v>1451</v>
      </c>
    </row>
    <row r="24" spans="2:5" ht="20.100000000000001" customHeight="1">
      <c r="B24" s="402" t="s">
        <v>1352</v>
      </c>
      <c r="C24" s="403" t="s">
        <v>9</v>
      </c>
      <c r="D24" s="407">
        <v>1447</v>
      </c>
      <c r="E24" s="297" t="s">
        <v>1451</v>
      </c>
    </row>
    <row r="25" spans="2:5" ht="20.100000000000001" customHeight="1">
      <c r="B25" s="402" t="s">
        <v>1450</v>
      </c>
      <c r="C25" s="403" t="s">
        <v>9</v>
      </c>
      <c r="D25" s="408">
        <v>969</v>
      </c>
      <c r="E25" s="297" t="s">
        <v>1451</v>
      </c>
    </row>
    <row r="26" spans="2:5" ht="20.100000000000001" customHeight="1">
      <c r="B26" s="404" t="s">
        <v>1353</v>
      </c>
      <c r="C26" s="405" t="s">
        <v>9</v>
      </c>
      <c r="D26" s="409">
        <v>40</v>
      </c>
      <c r="E26" s="297" t="s">
        <v>1451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T39" sqref="A1:T39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604" t="s">
        <v>1355</v>
      </c>
      <c r="C3" s="604"/>
      <c r="D3" s="604"/>
      <c r="E3" s="604"/>
      <c r="F3" s="302" t="str">
        <f>DATA!D14</f>
        <v>CRBC WIKA-PP JO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98" t="s">
        <v>1347</v>
      </c>
      <c r="C5" s="598" t="s">
        <v>1356</v>
      </c>
      <c r="D5" s="603" t="s">
        <v>1357</v>
      </c>
      <c r="E5" s="603" t="s">
        <v>1358</v>
      </c>
      <c r="F5" s="598" t="s">
        <v>1359</v>
      </c>
      <c r="G5" s="598"/>
      <c r="H5" s="598"/>
      <c r="I5" s="598"/>
      <c r="J5" s="598"/>
      <c r="K5" s="598" t="s">
        <v>1360</v>
      </c>
      <c r="L5" s="598"/>
      <c r="M5" s="304"/>
      <c r="N5" s="601" t="s">
        <v>1361</v>
      </c>
      <c r="O5" s="603" t="s">
        <v>1362</v>
      </c>
      <c r="P5" s="603" t="s">
        <v>1363</v>
      </c>
      <c r="Q5" s="603" t="s">
        <v>1364</v>
      </c>
      <c r="R5" s="305"/>
      <c r="S5" s="306"/>
      <c r="T5" s="599" t="s">
        <v>1365</v>
      </c>
      <c r="U5" s="307"/>
    </row>
    <row r="6" spans="1:21" ht="20.100000000000001" customHeight="1">
      <c r="B6" s="598"/>
      <c r="C6" s="598"/>
      <c r="D6" s="598"/>
      <c r="E6" s="598"/>
      <c r="F6" s="308" t="s">
        <v>1366</v>
      </c>
      <c r="G6" s="308" t="s">
        <v>1367</v>
      </c>
      <c r="H6" s="308" t="s">
        <v>1368</v>
      </c>
      <c r="I6" s="308" t="s">
        <v>1369</v>
      </c>
      <c r="J6" s="308" t="s">
        <v>1031</v>
      </c>
      <c r="K6" s="308" t="s">
        <v>1370</v>
      </c>
      <c r="L6" s="308" t="s">
        <v>1371</v>
      </c>
      <c r="M6" s="308" t="s">
        <v>1031</v>
      </c>
      <c r="N6" s="602"/>
      <c r="O6" s="598"/>
      <c r="P6" s="598"/>
      <c r="Q6" s="598"/>
      <c r="R6" s="305"/>
      <c r="S6" s="306"/>
      <c r="T6" s="598"/>
      <c r="U6" s="309"/>
    </row>
    <row r="7" spans="1:21" ht="20.100000000000001" customHeight="1">
      <c r="A7" s="310">
        <v>0</v>
      </c>
      <c r="B7" s="311">
        <v>2023</v>
      </c>
      <c r="C7" s="464">
        <f>DATA!D8*DATA!D26*8</f>
        <v>16960</v>
      </c>
      <c r="D7" s="313">
        <f>C7*4/24</f>
        <v>2826.6666666666665</v>
      </c>
      <c r="E7" s="313">
        <f>C7-D7</f>
        <v>14133.333333333334</v>
      </c>
      <c r="F7" s="314">
        <f ca="1">DATA!D10/1000000</f>
        <v>90.936403596749997</v>
      </c>
      <c r="G7" s="315">
        <f ca="1">DATA!$D$11/1000000</f>
        <v>1.8187280719349999</v>
      </c>
      <c r="H7" s="315">
        <f>C7*DATA!$D$5/1000000</f>
        <v>18.386760778236468</v>
      </c>
      <c r="I7" s="315">
        <f>(C7*DATA!$D$5*DATA!$D$7)/1000000</f>
        <v>0.41370211751032049</v>
      </c>
      <c r="J7" s="313">
        <f ca="1">SUM(F7:I7)</f>
        <v>111.55559456443179</v>
      </c>
      <c r="K7" s="316">
        <f>DATA!D9/1000000</f>
        <v>51.356999999999999</v>
      </c>
      <c r="L7" s="313">
        <f>((D7*DATA!$D$23)/1000000)+((E7*DATA!$D$24)/1000000)</f>
        <v>24.541120000000003</v>
      </c>
      <c r="M7" s="313">
        <f>K7+L7</f>
        <v>75.898120000000006</v>
      </c>
      <c r="N7" s="313">
        <f ca="1">M7-J7</f>
        <v>-35.65747456443178</v>
      </c>
      <c r="O7" s="311">
        <v>1</v>
      </c>
      <c r="P7" s="313">
        <f ca="1">O7*N7</f>
        <v>-35.65747456443178</v>
      </c>
      <c r="Q7" s="313">
        <f ca="1">P7</f>
        <v>-35.65747456443178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25440</v>
      </c>
      <c r="D8" s="313">
        <f>C8*4/24</f>
        <v>4240</v>
      </c>
      <c r="E8" s="313">
        <f t="shared" ref="E8:E32" si="0">C8-D8</f>
        <v>21200</v>
      </c>
      <c r="F8" s="311"/>
      <c r="G8" s="315">
        <f ca="1">DATA!$D$11/1000000</f>
        <v>1.8187280719349999</v>
      </c>
      <c r="H8" s="315">
        <f>C8*DATA!$D$5/1000000</f>
        <v>27.5801411673547</v>
      </c>
      <c r="I8" s="315">
        <f>(C8*DATA!$D$5*DATA!$D$7)/1000000</f>
        <v>0.62055317626548068</v>
      </c>
      <c r="J8" s="313">
        <f t="shared" ref="J8:J32" ca="1" si="1">SUM(F8:I8)</f>
        <v>30.01942241555518</v>
      </c>
      <c r="K8" s="318"/>
      <c r="L8" s="313">
        <f>((D8*DATA!$D$23)/1000000)+((E8*DATA!$D$24)/1000000)</f>
        <v>36.811680000000003</v>
      </c>
      <c r="M8" s="313">
        <f t="shared" ref="M8:M32" si="2">K8+L8</f>
        <v>36.811680000000003</v>
      </c>
      <c r="N8" s="313">
        <f ca="1">M8-J8</f>
        <v>6.7922575844448225</v>
      </c>
      <c r="O8" s="312">
        <f>1/(1+'[93]Asumsi I'!$C$3)^(KKF!A8)</f>
        <v>0.89285714285714279</v>
      </c>
      <c r="P8" s="313">
        <f ca="1">O8*N8</f>
        <v>6.0645157003971626</v>
      </c>
      <c r="Q8" s="313">
        <f ca="1">Q7+P8</f>
        <v>-29.592958864034618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25440</v>
      </c>
      <c r="D9" s="313">
        <f t="shared" ref="D9:D32" si="5">C9*4/24</f>
        <v>4240</v>
      </c>
      <c r="E9" s="313">
        <f t="shared" si="0"/>
        <v>21200</v>
      </c>
      <c r="F9" s="311"/>
      <c r="G9" s="315">
        <f ca="1">DATA!$D$11/1000000</f>
        <v>1.8187280719349999</v>
      </c>
      <c r="H9" s="315">
        <f>C9*DATA!$D$5/1000000</f>
        <v>27.5801411673547</v>
      </c>
      <c r="I9" s="315">
        <f>(C9*DATA!$D$5*DATA!$D$7)/1000000</f>
        <v>0.62055317626548068</v>
      </c>
      <c r="J9" s="313">
        <f t="shared" ca="1" si="1"/>
        <v>30.01942241555518</v>
      </c>
      <c r="K9" s="313"/>
      <c r="L9" s="313">
        <f>((D9*DATA!$D$23)/1000000)+((E9*DATA!$D$24)/1000000)</f>
        <v>36.811680000000003</v>
      </c>
      <c r="M9" s="313">
        <f t="shared" si="2"/>
        <v>36.811680000000003</v>
      </c>
      <c r="N9" s="313">
        <f t="shared" ref="N9:N32" ca="1" si="6">M9-J9</f>
        <v>6.7922575844448225</v>
      </c>
      <c r="O9" s="319">
        <f>1/(1+'[93]Asumsi I'!$C$3)^(KKF!A9)</f>
        <v>0.79719387755102034</v>
      </c>
      <c r="P9" s="313">
        <f t="shared" ref="P9:P32" ca="1" si="7">O9*N9</f>
        <v>5.4147461610688952</v>
      </c>
      <c r="Q9" s="313">
        <f ca="1">Q8+P9</f>
        <v>-24.178212702965723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25440</v>
      </c>
      <c r="D10" s="313">
        <f t="shared" si="5"/>
        <v>4240</v>
      </c>
      <c r="E10" s="313">
        <f t="shared" si="0"/>
        <v>21200</v>
      </c>
      <c r="F10" s="311"/>
      <c r="G10" s="315">
        <f ca="1">DATA!$D$11/1000000</f>
        <v>1.8187280719349999</v>
      </c>
      <c r="H10" s="315">
        <f>C10*DATA!$D$5/1000000</f>
        <v>27.5801411673547</v>
      </c>
      <c r="I10" s="315">
        <f>(C10*DATA!$D$5*DATA!$D$7)/1000000</f>
        <v>0.62055317626548068</v>
      </c>
      <c r="J10" s="313">
        <f t="shared" ca="1" si="1"/>
        <v>30.01942241555518</v>
      </c>
      <c r="K10" s="311"/>
      <c r="L10" s="313">
        <f>((D10*DATA!$D$23)/1000000)+((E10*DATA!$D$24)/1000000)</f>
        <v>36.811680000000003</v>
      </c>
      <c r="M10" s="313">
        <f t="shared" si="2"/>
        <v>36.811680000000003</v>
      </c>
      <c r="N10" s="313">
        <f t="shared" ca="1" si="6"/>
        <v>6.7922575844448225</v>
      </c>
      <c r="O10" s="312">
        <f>1/(1+'[93]Asumsi I'!$C$3)^(KKF!A10)</f>
        <v>0.71178024781341087</v>
      </c>
      <c r="P10" s="313">
        <f t="shared" ca="1" si="7"/>
        <v>4.8345947866686556</v>
      </c>
      <c r="Q10" s="313">
        <f t="shared" ref="Q10:Q30" ca="1" si="9">Q9+P10</f>
        <v>-19.343617916297067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25440</v>
      </c>
      <c r="D11" s="313">
        <f t="shared" si="5"/>
        <v>4240</v>
      </c>
      <c r="E11" s="313">
        <f t="shared" si="0"/>
        <v>21200</v>
      </c>
      <c r="F11" s="311"/>
      <c r="G11" s="315">
        <f ca="1">DATA!$D$11/1000000</f>
        <v>1.8187280719349999</v>
      </c>
      <c r="H11" s="315">
        <f>C11*DATA!$D$5/1000000</f>
        <v>27.5801411673547</v>
      </c>
      <c r="I11" s="315">
        <f>(C11*DATA!$D$5*DATA!$D$7)/1000000</f>
        <v>0.62055317626548068</v>
      </c>
      <c r="J11" s="313">
        <f t="shared" ca="1" si="1"/>
        <v>30.01942241555518</v>
      </c>
      <c r="K11" s="311"/>
      <c r="L11" s="313">
        <f>((D11*DATA!$D$23)/1000000)+((E11*DATA!$D$24)/1000000)</f>
        <v>36.811680000000003</v>
      </c>
      <c r="M11" s="313">
        <f t="shared" si="2"/>
        <v>36.811680000000003</v>
      </c>
      <c r="N11" s="313">
        <f t="shared" ca="1" si="6"/>
        <v>6.7922575844448225</v>
      </c>
      <c r="O11" s="312">
        <f>1/(1+'[93]Asumsi I'!$C$3)^(KKF!A11)</f>
        <v>0.63551807840483121</v>
      </c>
      <c r="P11" s="313">
        <f t="shared" ca="1" si="7"/>
        <v>4.316602488097014</v>
      </c>
      <c r="Q11" s="313">
        <f t="shared" ca="1" si="9"/>
        <v>-15.027015428200052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25440</v>
      </c>
      <c r="D12" s="313">
        <f t="shared" si="5"/>
        <v>4240</v>
      </c>
      <c r="E12" s="313">
        <f t="shared" si="0"/>
        <v>21200</v>
      </c>
      <c r="F12" s="311"/>
      <c r="G12" s="315">
        <f ca="1">DATA!$D$11/1000000</f>
        <v>1.8187280719349999</v>
      </c>
      <c r="H12" s="315">
        <f>C12*DATA!$D$5/1000000</f>
        <v>27.5801411673547</v>
      </c>
      <c r="I12" s="315">
        <f>(C12*DATA!$D$5*DATA!$D$7)/1000000</f>
        <v>0.62055317626548068</v>
      </c>
      <c r="J12" s="313">
        <f t="shared" ca="1" si="1"/>
        <v>30.01942241555518</v>
      </c>
      <c r="K12" s="311"/>
      <c r="L12" s="313">
        <f>((D12*DATA!$D$23)/1000000)+((E12*DATA!$D$24)/1000000)</f>
        <v>36.811680000000003</v>
      </c>
      <c r="M12" s="313">
        <f t="shared" si="2"/>
        <v>36.811680000000003</v>
      </c>
      <c r="N12" s="313">
        <f t="shared" ca="1" si="6"/>
        <v>6.7922575844448225</v>
      </c>
      <c r="O12" s="312">
        <f>1/(1+'[93]Asumsi I'!$C$3)^(KKF!A12)</f>
        <v>0.56742685571859919</v>
      </c>
      <c r="P12" s="313">
        <f t="shared" ca="1" si="7"/>
        <v>3.8541093643723334</v>
      </c>
      <c r="Q12" s="313">
        <f t="shared" ca="1" si="9"/>
        <v>-11.172906063827718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25440</v>
      </c>
      <c r="D13" s="313">
        <f t="shared" si="5"/>
        <v>4240</v>
      </c>
      <c r="E13" s="313">
        <f t="shared" si="0"/>
        <v>21200</v>
      </c>
      <c r="F13" s="311"/>
      <c r="G13" s="315">
        <f ca="1">DATA!$D$11/1000000</f>
        <v>1.8187280719349999</v>
      </c>
      <c r="H13" s="315">
        <f>C13*DATA!$D$5/1000000</f>
        <v>27.5801411673547</v>
      </c>
      <c r="I13" s="315">
        <f>(C13*DATA!$D$5*DATA!$D$7)/1000000</f>
        <v>0.62055317626548068</v>
      </c>
      <c r="J13" s="313">
        <f t="shared" ca="1" si="1"/>
        <v>30.01942241555518</v>
      </c>
      <c r="K13" s="311"/>
      <c r="L13" s="313">
        <f>((D13*DATA!$D$23)/1000000)+((E13*DATA!$D$24)/1000000)</f>
        <v>36.811680000000003</v>
      </c>
      <c r="M13" s="313">
        <f t="shared" si="2"/>
        <v>36.811680000000003</v>
      </c>
      <c r="N13" s="313">
        <f t="shared" ca="1" si="6"/>
        <v>6.7922575844448225</v>
      </c>
      <c r="O13" s="312">
        <f>1/(1+'[93]Asumsi I'!$C$3)^(KKF!A13)</f>
        <v>0.50663112117732068</v>
      </c>
      <c r="P13" s="313">
        <f t="shared" ca="1" si="7"/>
        <v>3.4411690753324402</v>
      </c>
      <c r="Q13" s="313">
        <f t="shared" ca="1" si="9"/>
        <v>-7.7317369884952774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25440</v>
      </c>
      <c r="D14" s="313">
        <f t="shared" si="5"/>
        <v>4240</v>
      </c>
      <c r="E14" s="313">
        <f t="shared" si="0"/>
        <v>21200</v>
      </c>
      <c r="F14" s="311"/>
      <c r="G14" s="315">
        <f ca="1">DATA!$D$11/1000000</f>
        <v>1.8187280719349999</v>
      </c>
      <c r="H14" s="315">
        <f>C14*DATA!$D$5/1000000</f>
        <v>27.5801411673547</v>
      </c>
      <c r="I14" s="315">
        <f>(C14*DATA!$D$5*DATA!$D$7)/1000000</f>
        <v>0.62055317626548068</v>
      </c>
      <c r="J14" s="313">
        <f t="shared" ca="1" si="1"/>
        <v>30.01942241555518</v>
      </c>
      <c r="K14" s="311"/>
      <c r="L14" s="313">
        <f>((D14*DATA!$D$23)/1000000)+((E14*DATA!$D$24)/1000000)</f>
        <v>36.811680000000003</v>
      </c>
      <c r="M14" s="313">
        <f t="shared" si="2"/>
        <v>36.811680000000003</v>
      </c>
      <c r="N14" s="313">
        <f t="shared" ca="1" si="6"/>
        <v>6.7922575844448225</v>
      </c>
      <c r="O14" s="312">
        <f>1/(1+'[93]Asumsi I'!$C$3)^(KKF!A14)</f>
        <v>0.45234921533689343</v>
      </c>
      <c r="P14" s="313">
        <f t="shared" ca="1" si="7"/>
        <v>3.0724723886896785</v>
      </c>
      <c r="Q14" s="313">
        <f t="shared" ca="1" si="9"/>
        <v>-4.6592645998055993</v>
      </c>
      <c r="S14" s="301" t="str">
        <f t="shared" ca="1" si="3"/>
        <v>a</v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25440</v>
      </c>
      <c r="D15" s="313">
        <f t="shared" si="5"/>
        <v>4240</v>
      </c>
      <c r="E15" s="313">
        <f t="shared" si="0"/>
        <v>21200</v>
      </c>
      <c r="F15" s="311"/>
      <c r="G15" s="315">
        <f ca="1">DATA!$D$11/1000000</f>
        <v>1.8187280719349999</v>
      </c>
      <c r="H15" s="315">
        <f>C15*DATA!$D$5/1000000</f>
        <v>27.5801411673547</v>
      </c>
      <c r="I15" s="315">
        <f>(C15*DATA!$D$5*DATA!$D$7)/1000000</f>
        <v>0.62055317626548068</v>
      </c>
      <c r="J15" s="313">
        <f t="shared" ca="1" si="1"/>
        <v>30.01942241555518</v>
      </c>
      <c r="K15" s="311"/>
      <c r="L15" s="313">
        <f>((D15*DATA!$D$23)/1000000)+((E15*DATA!$D$24)/1000000)</f>
        <v>36.811680000000003</v>
      </c>
      <c r="M15" s="313">
        <f t="shared" si="2"/>
        <v>36.811680000000003</v>
      </c>
      <c r="N15" s="313">
        <f t="shared" ca="1" si="6"/>
        <v>6.7922575844448225</v>
      </c>
      <c r="O15" s="312">
        <f>1/(1+'[93]Asumsi I'!$C$3)^(KKF!A15)</f>
        <v>0.4038832279793691</v>
      </c>
      <c r="P15" s="313">
        <f t="shared" ca="1" si="7"/>
        <v>2.7432789184729272</v>
      </c>
      <c r="Q15" s="313">
        <f t="shared" ca="1" si="9"/>
        <v>-1.9159856813326721</v>
      </c>
      <c r="S15" s="301" t="str">
        <f t="shared" ca="1" si="3"/>
        <v>a</v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25440</v>
      </c>
      <c r="D16" s="313">
        <f t="shared" si="5"/>
        <v>4240</v>
      </c>
      <c r="E16" s="313">
        <f t="shared" si="0"/>
        <v>21200</v>
      </c>
      <c r="F16" s="311"/>
      <c r="G16" s="315">
        <f ca="1">DATA!$D$11/1000000</f>
        <v>1.8187280719349999</v>
      </c>
      <c r="H16" s="315">
        <f>C16*DATA!$D$5/1000000</f>
        <v>27.5801411673547</v>
      </c>
      <c r="I16" s="315">
        <f>(C16*DATA!$D$5*DATA!$D$7)/1000000</f>
        <v>0.62055317626548068</v>
      </c>
      <c r="J16" s="313">
        <f t="shared" ca="1" si="1"/>
        <v>30.01942241555518</v>
      </c>
      <c r="K16" s="311"/>
      <c r="L16" s="313">
        <f>((D16*DATA!$D$23)/1000000)+((E16*DATA!$D$24)/1000000)</f>
        <v>36.811680000000003</v>
      </c>
      <c r="M16" s="313">
        <f t="shared" si="2"/>
        <v>36.811680000000003</v>
      </c>
      <c r="N16" s="313">
        <f t="shared" ca="1" si="6"/>
        <v>6.7922575844448225</v>
      </c>
      <c r="O16" s="312">
        <f>1/(1+'[93]Asumsi I'!$C$3)^(KKF!A16)</f>
        <v>0.36061002498157957</v>
      </c>
      <c r="P16" s="313">
        <f t="shared" ca="1" si="7"/>
        <v>2.4493561772079708</v>
      </c>
      <c r="Q16" s="313">
        <f t="shared" ca="1" si="9"/>
        <v>0.53337049587529872</v>
      </c>
      <c r="S16" s="301" t="str">
        <f t="shared" ca="1" si="3"/>
        <v/>
      </c>
      <c r="T16" s="317">
        <f t="shared" ca="1" si="10"/>
        <v>8.921473753130801</v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25440</v>
      </c>
      <c r="D17" s="313">
        <f t="shared" si="5"/>
        <v>4240</v>
      </c>
      <c r="E17" s="313">
        <f t="shared" si="0"/>
        <v>21200</v>
      </c>
      <c r="F17" s="311"/>
      <c r="G17" s="315">
        <f ca="1">DATA!$D$11/1000000</f>
        <v>1.8187280719349999</v>
      </c>
      <c r="H17" s="315">
        <f>C17*DATA!$D$5/1000000</f>
        <v>27.5801411673547</v>
      </c>
      <c r="I17" s="315">
        <f>(C17*DATA!$D$5*DATA!$D$7)/1000000</f>
        <v>0.62055317626548068</v>
      </c>
      <c r="J17" s="313">
        <f t="shared" ca="1" si="1"/>
        <v>30.01942241555518</v>
      </c>
      <c r="K17" s="311"/>
      <c r="L17" s="313">
        <f>((D17*DATA!$D$23)/1000000)+((E17*DATA!$D$24)/1000000)</f>
        <v>36.811680000000003</v>
      </c>
      <c r="M17" s="313">
        <f t="shared" si="2"/>
        <v>36.811680000000003</v>
      </c>
      <c r="N17" s="313">
        <f t="shared" ca="1" si="6"/>
        <v>6.7922575844448225</v>
      </c>
      <c r="O17" s="312">
        <f>1/(1+'[93]Asumsi I'!$C$3)^(KKF!A17)</f>
        <v>0.32197323659069599</v>
      </c>
      <c r="P17" s="313">
        <f t="shared" ca="1" si="7"/>
        <v>2.1869251582214022</v>
      </c>
      <c r="Q17" s="313">
        <f t="shared" ca="1" si="9"/>
        <v>2.7202956540967009</v>
      </c>
      <c r="S17" s="301" t="str">
        <f t="shared" ca="1" si="3"/>
        <v/>
      </c>
      <c r="T17" s="317">
        <f t="shared" ca="1" si="10"/>
        <v>9.5995005165401057</v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25440</v>
      </c>
      <c r="D18" s="313">
        <f t="shared" si="5"/>
        <v>4240</v>
      </c>
      <c r="E18" s="313">
        <f t="shared" si="0"/>
        <v>21200</v>
      </c>
      <c r="F18" s="311"/>
      <c r="G18" s="315">
        <f ca="1">DATA!$D$11/1000000</f>
        <v>1.8187280719349999</v>
      </c>
      <c r="H18" s="315">
        <f>C18*DATA!$D$5/1000000</f>
        <v>27.5801411673547</v>
      </c>
      <c r="I18" s="315">
        <f>(C18*DATA!$D$5*DATA!$D$7)/1000000</f>
        <v>0.62055317626548068</v>
      </c>
      <c r="J18" s="313">
        <f t="shared" ca="1" si="1"/>
        <v>30.01942241555518</v>
      </c>
      <c r="K18" s="311"/>
      <c r="L18" s="313">
        <f>((D18*DATA!$D$23)/1000000)+((E18*DATA!$D$24)/1000000)</f>
        <v>36.811680000000003</v>
      </c>
      <c r="M18" s="313">
        <f t="shared" si="2"/>
        <v>36.811680000000003</v>
      </c>
      <c r="N18" s="313">
        <f t="shared" ca="1" si="6"/>
        <v>6.7922575844448225</v>
      </c>
      <c r="O18" s="312">
        <f>1/(1+'[93]Asumsi I'!$C$3)^(KKF!A18)</f>
        <v>0.28747610409883567</v>
      </c>
      <c r="P18" s="313">
        <f t="shared" ca="1" si="7"/>
        <v>1.9526117484119658</v>
      </c>
      <c r="Q18" s="313">
        <f t="shared" ca="1" si="9"/>
        <v>4.6729074025086668</v>
      </c>
      <c r="S18" s="301" t="str">
        <f t="shared" ca="1" si="3"/>
        <v/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25440</v>
      </c>
      <c r="D19" s="313">
        <f t="shared" si="5"/>
        <v>4240</v>
      </c>
      <c r="E19" s="313">
        <f t="shared" si="0"/>
        <v>21200</v>
      </c>
      <c r="F19" s="311"/>
      <c r="G19" s="315">
        <f ca="1">DATA!$D$11/1000000</f>
        <v>1.8187280719349999</v>
      </c>
      <c r="H19" s="315">
        <f>C19*DATA!$D$5/1000000</f>
        <v>27.5801411673547</v>
      </c>
      <c r="I19" s="315">
        <f>(C19*DATA!$D$5*DATA!$D$7)/1000000</f>
        <v>0.62055317626548068</v>
      </c>
      <c r="J19" s="313">
        <f t="shared" ca="1" si="1"/>
        <v>30.01942241555518</v>
      </c>
      <c r="K19" s="311"/>
      <c r="L19" s="313">
        <f>((D19*DATA!$D$23)/1000000)+((E19*DATA!$D$24)/1000000)</f>
        <v>36.811680000000003</v>
      </c>
      <c r="M19" s="313">
        <f t="shared" si="2"/>
        <v>36.811680000000003</v>
      </c>
      <c r="N19" s="313">
        <f t="shared" ca="1" si="6"/>
        <v>6.7922575844448225</v>
      </c>
      <c r="O19" s="312">
        <f>1/(1+'[93]Asumsi I'!$C$3)^(KKF!A19)</f>
        <v>0.25667509294538904</v>
      </c>
      <c r="P19" s="313">
        <f t="shared" ca="1" si="7"/>
        <v>1.7434033467963985</v>
      </c>
      <c r="Q19" s="313">
        <f t="shared" ca="1" si="9"/>
        <v>6.4163107493050653</v>
      </c>
      <c r="S19" s="301" t="str">
        <f t="shared" ca="1" si="3"/>
        <v/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25440</v>
      </c>
      <c r="D20" s="313">
        <f t="shared" si="5"/>
        <v>4240</v>
      </c>
      <c r="E20" s="313">
        <f t="shared" si="0"/>
        <v>21200</v>
      </c>
      <c r="F20" s="311"/>
      <c r="G20" s="315">
        <f ca="1">DATA!$D$11/1000000</f>
        <v>1.8187280719349999</v>
      </c>
      <c r="H20" s="315">
        <f>C20*DATA!$D$5/1000000</f>
        <v>27.5801411673547</v>
      </c>
      <c r="I20" s="315">
        <f>(C20*DATA!$D$5*DATA!$D$7)/1000000</f>
        <v>0.62055317626548068</v>
      </c>
      <c r="J20" s="313">
        <f t="shared" ca="1" si="1"/>
        <v>30.01942241555518</v>
      </c>
      <c r="K20" s="311"/>
      <c r="L20" s="313">
        <f>((D20*DATA!$D$23)/1000000)+((E20*DATA!$D$24)/1000000)</f>
        <v>36.811680000000003</v>
      </c>
      <c r="M20" s="313">
        <f t="shared" si="2"/>
        <v>36.811680000000003</v>
      </c>
      <c r="N20" s="313">
        <f t="shared" ca="1" si="6"/>
        <v>6.7922575844448225</v>
      </c>
      <c r="O20" s="312">
        <f>1/(1+'[93]Asumsi I'!$C$3)^(KKF!A20)</f>
        <v>0.22917419012981158</v>
      </c>
      <c r="P20" s="313">
        <f t="shared" ca="1" si="7"/>
        <v>1.5566101310682126</v>
      </c>
      <c r="Q20" s="313">
        <f t="shared" ca="1" si="9"/>
        <v>7.9729208803732776</v>
      </c>
      <c r="S20" s="301" t="str">
        <f t="shared" ca="1" si="3"/>
        <v/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25440</v>
      </c>
      <c r="D21" s="313">
        <f t="shared" si="5"/>
        <v>4240</v>
      </c>
      <c r="E21" s="313">
        <f t="shared" si="0"/>
        <v>21200</v>
      </c>
      <c r="F21" s="311"/>
      <c r="G21" s="315">
        <f ca="1">DATA!$D$11/1000000</f>
        <v>1.8187280719349999</v>
      </c>
      <c r="H21" s="315">
        <f>C21*DATA!$D$5/1000000</f>
        <v>27.5801411673547</v>
      </c>
      <c r="I21" s="315">
        <f>(C21*DATA!$D$5*DATA!$D$7)/1000000</f>
        <v>0.62055317626548068</v>
      </c>
      <c r="J21" s="313">
        <f t="shared" ca="1" si="1"/>
        <v>30.01942241555518</v>
      </c>
      <c r="K21" s="311"/>
      <c r="L21" s="313">
        <f>((D21*DATA!$D$23)/1000000)+((E21*DATA!$D$24)/1000000)</f>
        <v>36.811680000000003</v>
      </c>
      <c r="M21" s="313">
        <f t="shared" si="2"/>
        <v>36.811680000000003</v>
      </c>
      <c r="N21" s="313">
        <f t="shared" ca="1" si="6"/>
        <v>6.7922575844448225</v>
      </c>
      <c r="O21" s="312">
        <f>1/(1+'[93]Asumsi I'!$C$3)^(KKF!A21)</f>
        <v>0.20461981261590317</v>
      </c>
      <c r="P21" s="313">
        <f t="shared" ca="1" si="7"/>
        <v>1.3898304741680467</v>
      </c>
      <c r="Q21" s="313">
        <f t="shared" ca="1" si="9"/>
        <v>9.3627513545413237</v>
      </c>
      <c r="S21" s="301" t="str">
        <f t="shared" ca="1" si="3"/>
        <v/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25440</v>
      </c>
      <c r="D22" s="313">
        <f t="shared" si="5"/>
        <v>4240</v>
      </c>
      <c r="E22" s="313">
        <f t="shared" si="0"/>
        <v>21200</v>
      </c>
      <c r="F22" s="311"/>
      <c r="G22" s="315">
        <f ca="1">DATA!$D$11/1000000</f>
        <v>1.8187280719349999</v>
      </c>
      <c r="H22" s="315">
        <f>C22*DATA!$D$5/1000000</f>
        <v>27.5801411673547</v>
      </c>
      <c r="I22" s="315">
        <f>(C22*DATA!$D$5*DATA!$D$7)/1000000</f>
        <v>0.62055317626548068</v>
      </c>
      <c r="J22" s="313">
        <f t="shared" ca="1" si="1"/>
        <v>30.01942241555518</v>
      </c>
      <c r="K22" s="311"/>
      <c r="L22" s="313">
        <f>((D22*DATA!$D$23)/1000000)+((E22*DATA!$D$24)/1000000)</f>
        <v>36.811680000000003</v>
      </c>
      <c r="M22" s="313">
        <f t="shared" si="2"/>
        <v>36.811680000000003</v>
      </c>
      <c r="N22" s="313">
        <f t="shared" ca="1" si="6"/>
        <v>6.7922575844448225</v>
      </c>
      <c r="O22" s="312">
        <f>1/(1+'[93]Asumsi I'!$C$3)^(KKF!A22)</f>
        <v>0.18269626126419927</v>
      </c>
      <c r="P22" s="313">
        <f t="shared" ca="1" si="7"/>
        <v>1.2409200662214703</v>
      </c>
      <c r="Q22" s="313">
        <f t="shared" ca="1" si="9"/>
        <v>10.603671420762794</v>
      </c>
      <c r="S22" s="301" t="str">
        <f t="shared" ca="1" si="3"/>
        <v/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25440</v>
      </c>
      <c r="D23" s="313">
        <f t="shared" si="5"/>
        <v>4240</v>
      </c>
      <c r="E23" s="313">
        <f t="shared" si="0"/>
        <v>21200</v>
      </c>
      <c r="F23" s="311"/>
      <c r="G23" s="315">
        <f ca="1">DATA!$D$11/1000000</f>
        <v>1.8187280719349999</v>
      </c>
      <c r="H23" s="315">
        <f>C23*DATA!$D$5/1000000</f>
        <v>27.5801411673547</v>
      </c>
      <c r="I23" s="315">
        <f>(C23*DATA!$D$5*DATA!$D$7)/1000000</f>
        <v>0.62055317626548068</v>
      </c>
      <c r="J23" s="313">
        <f t="shared" ca="1" si="1"/>
        <v>30.01942241555518</v>
      </c>
      <c r="K23" s="311"/>
      <c r="L23" s="313">
        <f>((D23*DATA!$D$23)/1000000)+((E23*DATA!$D$24)/1000000)</f>
        <v>36.811680000000003</v>
      </c>
      <c r="M23" s="313">
        <f t="shared" si="2"/>
        <v>36.811680000000003</v>
      </c>
      <c r="N23" s="313">
        <f t="shared" ca="1" si="6"/>
        <v>6.7922575844448225</v>
      </c>
      <c r="O23" s="312">
        <f>1/(1+'[93]Asumsi I'!$C$3)^(KKF!A23)</f>
        <v>0.16312166184303503</v>
      </c>
      <c r="P23" s="313">
        <f t="shared" ca="1" si="7"/>
        <v>1.1079643448405982</v>
      </c>
      <c r="Q23" s="313">
        <f t="shared" ca="1" si="9"/>
        <v>11.711635765603392</v>
      </c>
      <c r="S23" s="301" t="str">
        <f t="shared" ca="1" si="3"/>
        <v/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25440</v>
      </c>
      <c r="D24" s="313">
        <f t="shared" si="5"/>
        <v>4240</v>
      </c>
      <c r="E24" s="313">
        <f t="shared" si="0"/>
        <v>21200</v>
      </c>
      <c r="F24" s="311"/>
      <c r="G24" s="315">
        <f ca="1">DATA!$D$11/1000000</f>
        <v>1.8187280719349999</v>
      </c>
      <c r="H24" s="315">
        <f>C24*DATA!$D$5/1000000</f>
        <v>27.5801411673547</v>
      </c>
      <c r="I24" s="315">
        <f>(C24*DATA!$D$5*DATA!$D$7)/1000000</f>
        <v>0.62055317626548068</v>
      </c>
      <c r="J24" s="313">
        <f t="shared" ca="1" si="1"/>
        <v>30.01942241555518</v>
      </c>
      <c r="K24" s="311"/>
      <c r="L24" s="313">
        <f>((D24*DATA!$D$23)/1000000)+((E24*DATA!$D$24)/1000000)</f>
        <v>36.811680000000003</v>
      </c>
      <c r="M24" s="313">
        <f t="shared" si="2"/>
        <v>36.811680000000003</v>
      </c>
      <c r="N24" s="313">
        <f t="shared" ca="1" si="6"/>
        <v>6.7922575844448225</v>
      </c>
      <c r="O24" s="312">
        <f>1/(1+'[93]Asumsi I'!$C$3)^(KKF!A24)</f>
        <v>0.14564434093128129</v>
      </c>
      <c r="P24" s="313">
        <f t="shared" ca="1" si="7"/>
        <v>0.98925387932196285</v>
      </c>
      <c r="Q24" s="313">
        <f t="shared" ca="1" si="9"/>
        <v>12.700889644925354</v>
      </c>
      <c r="S24" s="301" t="str">
        <f t="shared" ca="1" si="3"/>
        <v/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25440</v>
      </c>
      <c r="D25" s="313">
        <f t="shared" si="5"/>
        <v>4240</v>
      </c>
      <c r="E25" s="313">
        <f t="shared" si="0"/>
        <v>21200</v>
      </c>
      <c r="F25" s="311"/>
      <c r="G25" s="315">
        <f ca="1">DATA!$D$11/1000000</f>
        <v>1.8187280719349999</v>
      </c>
      <c r="H25" s="315">
        <f>C25*DATA!$D$5/1000000</f>
        <v>27.5801411673547</v>
      </c>
      <c r="I25" s="315">
        <f>(C25*DATA!$D$5*DATA!$D$7)/1000000</f>
        <v>0.62055317626548068</v>
      </c>
      <c r="J25" s="313">
        <f t="shared" ca="1" si="1"/>
        <v>30.01942241555518</v>
      </c>
      <c r="K25" s="311"/>
      <c r="L25" s="313">
        <f>((D25*DATA!$D$23)/1000000)+((E25*DATA!$D$24)/1000000)</f>
        <v>36.811680000000003</v>
      </c>
      <c r="M25" s="313">
        <f t="shared" si="2"/>
        <v>36.811680000000003</v>
      </c>
      <c r="N25" s="313">
        <f t="shared" ca="1" si="6"/>
        <v>6.7922575844448225</v>
      </c>
      <c r="O25" s="312">
        <f>1/(1+'[93]Asumsi I'!$C$3)^(KKF!A25)</f>
        <v>0.13003959011721541</v>
      </c>
      <c r="P25" s="313">
        <f t="shared" ca="1" si="7"/>
        <v>0.8832623922517524</v>
      </c>
      <c r="Q25" s="313">
        <f t="shared" ca="1" si="9"/>
        <v>13.584152037177107</v>
      </c>
      <c r="S25" s="301" t="str">
        <f t="shared" ca="1" si="3"/>
        <v/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25440</v>
      </c>
      <c r="D26" s="313">
        <f t="shared" si="5"/>
        <v>4240</v>
      </c>
      <c r="E26" s="313">
        <f t="shared" si="0"/>
        <v>21200</v>
      </c>
      <c r="F26" s="311"/>
      <c r="G26" s="315">
        <f ca="1">DATA!$D$11/1000000</f>
        <v>1.8187280719349999</v>
      </c>
      <c r="H26" s="315">
        <f>C26*DATA!$D$5/1000000</f>
        <v>27.5801411673547</v>
      </c>
      <c r="I26" s="315">
        <f>(C26*DATA!$D$5*DATA!$D$7)/1000000</f>
        <v>0.62055317626548068</v>
      </c>
      <c r="J26" s="313">
        <f t="shared" ca="1" si="1"/>
        <v>30.01942241555518</v>
      </c>
      <c r="K26" s="311"/>
      <c r="L26" s="313">
        <f>((D26*DATA!$D$23)/1000000)+((E26*DATA!$D$24)/1000000)</f>
        <v>36.811680000000003</v>
      </c>
      <c r="M26" s="313">
        <f t="shared" si="2"/>
        <v>36.811680000000003</v>
      </c>
      <c r="N26" s="313">
        <f t="shared" ca="1" si="6"/>
        <v>6.7922575844448225</v>
      </c>
      <c r="O26" s="312">
        <f>1/(1+'[93]Asumsi I'!$C$3)^(KKF!A26)</f>
        <v>0.1161067768903709</v>
      </c>
      <c r="P26" s="313">
        <f t="shared" ca="1" si="7"/>
        <v>0.78862713593906453</v>
      </c>
      <c r="Q26" s="313">
        <f t="shared" ca="1" si="9"/>
        <v>14.372779173116172</v>
      </c>
      <c r="S26" s="301" t="str">
        <f t="shared" ca="1" si="3"/>
        <v/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25440</v>
      </c>
      <c r="D27" s="313">
        <f t="shared" si="5"/>
        <v>4240</v>
      </c>
      <c r="E27" s="313">
        <f t="shared" si="0"/>
        <v>21200</v>
      </c>
      <c r="F27" s="311"/>
      <c r="G27" s="315">
        <f ca="1">DATA!$D$11/1000000</f>
        <v>1.8187280719349999</v>
      </c>
      <c r="H27" s="315">
        <f>C27*DATA!$D$5/1000000</f>
        <v>27.5801411673547</v>
      </c>
      <c r="I27" s="315">
        <f>(C27*DATA!$D$5*DATA!$D$7)/1000000</f>
        <v>0.62055317626548068</v>
      </c>
      <c r="J27" s="313">
        <f t="shared" ca="1" si="1"/>
        <v>30.01942241555518</v>
      </c>
      <c r="K27" s="311"/>
      <c r="L27" s="313">
        <f>((D27*DATA!$D$23)/1000000)+((E27*DATA!$D$24)/1000000)</f>
        <v>36.811680000000003</v>
      </c>
      <c r="M27" s="313">
        <f t="shared" si="2"/>
        <v>36.811680000000003</v>
      </c>
      <c r="N27" s="313">
        <f t="shared" ca="1" si="6"/>
        <v>6.7922575844448225</v>
      </c>
      <c r="O27" s="312">
        <f>1/(1+'[93]Asumsi I'!$C$3)^(KKF!A27)</f>
        <v>0.1036667650806883</v>
      </c>
      <c r="P27" s="313">
        <f t="shared" ca="1" si="7"/>
        <v>0.70413137137416482</v>
      </c>
      <c r="Q27" s="313">
        <f t="shared" ca="1" si="9"/>
        <v>15.076910544490337</v>
      </c>
      <c r="S27" s="301" t="str">
        <f t="shared" ca="1" si="3"/>
        <v/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25440</v>
      </c>
      <c r="D28" s="313">
        <f t="shared" si="5"/>
        <v>4240</v>
      </c>
      <c r="E28" s="313">
        <f t="shared" si="0"/>
        <v>21200</v>
      </c>
      <c r="F28" s="311"/>
      <c r="G28" s="315">
        <f ca="1">DATA!$D$11/1000000</f>
        <v>1.8187280719349999</v>
      </c>
      <c r="H28" s="315">
        <f>C28*DATA!$D$5/1000000</f>
        <v>27.5801411673547</v>
      </c>
      <c r="I28" s="315">
        <f>(C28*DATA!$D$5*DATA!$D$7)/1000000</f>
        <v>0.62055317626548068</v>
      </c>
      <c r="J28" s="313">
        <f t="shared" ca="1" si="1"/>
        <v>30.01942241555518</v>
      </c>
      <c r="K28" s="311"/>
      <c r="L28" s="313">
        <f>((D28*DATA!$D$23)/1000000)+((E28*DATA!$D$24)/1000000)</f>
        <v>36.811680000000003</v>
      </c>
      <c r="M28" s="313">
        <f t="shared" si="2"/>
        <v>36.811680000000003</v>
      </c>
      <c r="N28" s="313">
        <f t="shared" ca="1" si="6"/>
        <v>6.7922575844448225</v>
      </c>
      <c r="O28" s="312">
        <f>1/(1+'[93]Asumsi I'!$C$3)^(KKF!A28)</f>
        <v>9.2559611679185971E-2</v>
      </c>
      <c r="P28" s="313">
        <f t="shared" ca="1" si="7"/>
        <v>0.62868872444121848</v>
      </c>
      <c r="Q28" s="313">
        <f t="shared" ca="1" si="9"/>
        <v>15.705599268931556</v>
      </c>
      <c r="S28" s="301" t="str">
        <f t="shared" ca="1" si="3"/>
        <v/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25440</v>
      </c>
      <c r="D29" s="313">
        <f t="shared" si="5"/>
        <v>4240</v>
      </c>
      <c r="E29" s="313">
        <f t="shared" si="0"/>
        <v>21200</v>
      </c>
      <c r="F29" s="311"/>
      <c r="G29" s="315">
        <f ca="1">DATA!$D$11/1000000</f>
        <v>1.8187280719349999</v>
      </c>
      <c r="H29" s="315">
        <f>C29*DATA!$D$5/1000000</f>
        <v>27.5801411673547</v>
      </c>
      <c r="I29" s="315">
        <f>(C29*DATA!$D$5*DATA!$D$7)/1000000</f>
        <v>0.62055317626548068</v>
      </c>
      <c r="J29" s="313">
        <f t="shared" ca="1" si="1"/>
        <v>30.01942241555518</v>
      </c>
      <c r="K29" s="311"/>
      <c r="L29" s="313">
        <f>((D29*DATA!$D$23)/1000000)+((E29*DATA!$D$24)/1000000)</f>
        <v>36.811680000000003</v>
      </c>
      <c r="M29" s="313">
        <f t="shared" si="2"/>
        <v>36.811680000000003</v>
      </c>
      <c r="N29" s="313">
        <f t="shared" ca="1" si="6"/>
        <v>6.7922575844448225</v>
      </c>
      <c r="O29" s="312">
        <f>1/(1+'[93]Asumsi I'!$C$3)^(KKF!A29)</f>
        <v>8.2642510427844609E-2</v>
      </c>
      <c r="P29" s="313">
        <f t="shared" ca="1" si="7"/>
        <v>0.56132921825108784</v>
      </c>
      <c r="Q29" s="313">
        <f t="shared" ca="1" si="9"/>
        <v>16.266928487182643</v>
      </c>
      <c r="S29" s="301" t="str">
        <f t="shared" ca="1" si="3"/>
        <v/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25440</v>
      </c>
      <c r="D30" s="313">
        <f t="shared" si="5"/>
        <v>4240</v>
      </c>
      <c r="E30" s="313">
        <f t="shared" si="0"/>
        <v>21200</v>
      </c>
      <c r="F30" s="311"/>
      <c r="G30" s="315">
        <f ca="1">DATA!$D$11/1000000</f>
        <v>1.8187280719349999</v>
      </c>
      <c r="H30" s="315">
        <f>C30*DATA!$D$5/1000000</f>
        <v>27.5801411673547</v>
      </c>
      <c r="I30" s="315">
        <f>(C30*DATA!$D$5*DATA!$D$7)/1000000</f>
        <v>0.62055317626548068</v>
      </c>
      <c r="J30" s="313">
        <f t="shared" ca="1" si="1"/>
        <v>30.01942241555518</v>
      </c>
      <c r="K30" s="311"/>
      <c r="L30" s="313">
        <f>((D30*DATA!$D$23)/1000000)+((E30*DATA!$D$24)/1000000)</f>
        <v>36.811680000000003</v>
      </c>
      <c r="M30" s="313">
        <f t="shared" si="2"/>
        <v>36.811680000000003</v>
      </c>
      <c r="N30" s="313">
        <f t="shared" ca="1" si="6"/>
        <v>6.7922575844448225</v>
      </c>
      <c r="O30" s="312">
        <f>1/(1+'[93]Asumsi I'!$C$3)^(KKF!A30)</f>
        <v>7.3787955739146982E-2</v>
      </c>
      <c r="P30" s="313">
        <f t="shared" ca="1" si="7"/>
        <v>0.50118680200989996</v>
      </c>
      <c r="Q30" s="313">
        <f t="shared" ca="1" si="9"/>
        <v>16.768115289192544</v>
      </c>
      <c r="S30" s="301" t="str">
        <f t="shared" ca="1" si="3"/>
        <v/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25440</v>
      </c>
      <c r="D31" s="313">
        <f t="shared" si="5"/>
        <v>4240</v>
      </c>
      <c r="E31" s="313">
        <f t="shared" si="0"/>
        <v>21200</v>
      </c>
      <c r="F31" s="311"/>
      <c r="G31" s="315">
        <f ca="1">DATA!$D$11/1000000</f>
        <v>1.8187280719349999</v>
      </c>
      <c r="H31" s="315">
        <f>C31*DATA!$D$5/1000000</f>
        <v>27.5801411673547</v>
      </c>
      <c r="I31" s="315">
        <f>(C31*DATA!$D$5*DATA!$D$7)/1000000</f>
        <v>0.62055317626548068</v>
      </c>
      <c r="J31" s="313">
        <f t="shared" ca="1" si="1"/>
        <v>30.01942241555518</v>
      </c>
      <c r="K31" s="311"/>
      <c r="L31" s="313">
        <f>((D31*DATA!$D$23)/1000000)+((E31*DATA!$D$24)/1000000)</f>
        <v>36.811680000000003</v>
      </c>
      <c r="M31" s="313">
        <f t="shared" si="2"/>
        <v>36.811680000000003</v>
      </c>
      <c r="N31" s="313">
        <f t="shared" ca="1" si="6"/>
        <v>6.7922575844448225</v>
      </c>
      <c r="O31" s="312">
        <f>1/(1+'[93]Asumsi I'!$C$3)^(KKF!A31)</f>
        <v>6.5882103338524081E-2</v>
      </c>
      <c r="P31" s="313">
        <f t="shared" ca="1" si="7"/>
        <v>0.44748821608026773</v>
      </c>
      <c r="Q31" s="313">
        <f ca="1">Q30+P31</f>
        <v>17.21560350527281</v>
      </c>
      <c r="S31" s="301" t="str">
        <f t="shared" ca="1" si="3"/>
        <v/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25440</v>
      </c>
      <c r="D32" s="313">
        <f t="shared" si="5"/>
        <v>4240</v>
      </c>
      <c r="E32" s="313">
        <f t="shared" si="0"/>
        <v>21200</v>
      </c>
      <c r="F32" s="311"/>
      <c r="G32" s="315">
        <f ca="1">DATA!$D$11/1000000</f>
        <v>1.8187280719349999</v>
      </c>
      <c r="H32" s="315">
        <f>C32*DATA!$D$5/1000000</f>
        <v>27.5801411673547</v>
      </c>
      <c r="I32" s="315">
        <f>(C32*DATA!$D$5*DATA!$D$7)/1000000</f>
        <v>0.62055317626548068</v>
      </c>
      <c r="J32" s="313">
        <f t="shared" ca="1" si="1"/>
        <v>30.01942241555518</v>
      </c>
      <c r="K32" s="311"/>
      <c r="L32" s="313">
        <f>((D32*DATA!$D$23)/1000000)+((E32*DATA!$D$24)/1000000)</f>
        <v>36.811680000000003</v>
      </c>
      <c r="M32" s="313">
        <f t="shared" si="2"/>
        <v>36.811680000000003</v>
      </c>
      <c r="N32" s="313">
        <f t="shared" ca="1" si="6"/>
        <v>6.7922575844448225</v>
      </c>
      <c r="O32" s="312">
        <f>1/(1+'[93]Asumsi I'!$C$3)^(KKF!A32)</f>
        <v>5.8823306552253637E-2</v>
      </c>
      <c r="P32" s="313">
        <f t="shared" ca="1" si="7"/>
        <v>0.39954305007166757</v>
      </c>
      <c r="Q32" s="313">
        <f ca="1">Q31+P32</f>
        <v>17.615146555344477</v>
      </c>
      <c r="S32" s="301" t="str">
        <f t="shared" ca="1" si="3"/>
        <v/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600" t="s">
        <v>1372</v>
      </c>
      <c r="G33" s="600"/>
      <c r="H33" s="600"/>
      <c r="I33" s="321"/>
      <c r="J33" s="322">
        <f ca="1">SUM(J7:J32)</f>
        <v>862.04115495331098</v>
      </c>
      <c r="K33" s="600" t="s">
        <v>1373</v>
      </c>
      <c r="L33" s="600"/>
      <c r="M33" s="322">
        <f>SUM(M7:M32)</f>
        <v>996.19012000000043</v>
      </c>
      <c r="N33" s="320"/>
      <c r="O33" s="320"/>
      <c r="P33" s="323"/>
      <c r="Q33" s="323"/>
      <c r="S33" s="301">
        <f ca="1">COUNTIF(S7:S32,"a")</f>
        <v>9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1374</v>
      </c>
      <c r="Q34" s="327">
        <f ca="1">+J7/N32</f>
        <v>16.423934631087757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1375</v>
      </c>
      <c r="Q35" s="329">
        <f ca="1">AVERAGE(T7:T32)</f>
        <v>9.2604871348354543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1376</v>
      </c>
      <c r="Q36" s="330">
        <f ca="1">M33/J33</f>
        <v>1.1556178197245759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1027</v>
      </c>
      <c r="Q37" s="331">
        <f ca="1">+NPV(0.12,N7:N32)</f>
        <v>15.727809424414701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1028</v>
      </c>
      <c r="Q38" s="332">
        <f ca="1">IRR(N7:N32,DATA!D4)</f>
        <v>0.18791443671862673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25"/>
  <sheetViews>
    <sheetView showGridLines="0" tabSelected="1" zoomScale="70" zoomScaleNormal="70" zoomScaleSheetLayoutView="70" workbookViewId="0">
      <pane ySplit="13" topLeftCell="A108" activePane="bottomLeft" state="frozen"/>
      <selection activeCell="H1093" sqref="H1093"/>
      <selection pane="bottomLeft" activeCell="N118" sqref="N118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4" customWidth="1"/>
    <col min="4" max="4" width="13.7109375" style="394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1008</v>
      </c>
      <c r="D1" s="336"/>
      <c r="U1" s="333"/>
    </row>
    <row r="2" spans="1:22">
      <c r="C2" s="335" t="s">
        <v>1346</v>
      </c>
      <c r="D2" s="336"/>
      <c r="T2" s="341"/>
      <c r="U2" s="342" t="s">
        <v>1035</v>
      </c>
      <c r="V2" s="341"/>
    </row>
    <row r="3" spans="1:22">
      <c r="C3" s="335" t="s">
        <v>1438</v>
      </c>
      <c r="D3" s="336"/>
      <c r="O3" s="623" t="s">
        <v>1035</v>
      </c>
      <c r="P3" s="623"/>
      <c r="Q3" s="343"/>
      <c r="T3" s="341"/>
      <c r="U3" s="342" t="s">
        <v>1040</v>
      </c>
      <c r="V3" s="341"/>
    </row>
    <row r="4" spans="1:22" ht="15.75" customHeight="1">
      <c r="B4" s="624" t="s">
        <v>1022</v>
      </c>
      <c r="C4" s="624"/>
      <c r="D4" s="624"/>
      <c r="E4" s="624"/>
      <c r="F4" s="624"/>
      <c r="G4" s="624"/>
      <c r="H4" s="624"/>
      <c r="I4" s="624"/>
      <c r="J4" s="624"/>
      <c r="K4" s="624"/>
      <c r="O4" s="623"/>
      <c r="P4" s="623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1036</v>
      </c>
      <c r="F6" s="346" t="s">
        <v>9</v>
      </c>
      <c r="G6" s="607" t="str">
        <f>DATA!D14</f>
        <v>CRBC WIKA-PP JO</v>
      </c>
      <c r="H6" s="607"/>
      <c r="I6" s="607"/>
      <c r="J6" s="607"/>
      <c r="K6" s="607"/>
      <c r="T6" s="341"/>
      <c r="U6" s="342"/>
      <c r="V6" s="341"/>
    </row>
    <row r="7" spans="1:22">
      <c r="C7" s="344"/>
      <c r="D7" s="336"/>
      <c r="E7" s="345" t="s">
        <v>1037</v>
      </c>
      <c r="F7" s="346" t="s">
        <v>9</v>
      </c>
      <c r="G7" s="345" t="s">
        <v>1621</v>
      </c>
      <c r="J7" s="347"/>
      <c r="T7" s="341"/>
      <c r="U7" s="342"/>
      <c r="V7" s="341"/>
    </row>
    <row r="8" spans="1:22">
      <c r="C8" s="344"/>
      <c r="D8" s="336"/>
      <c r="E8" s="345" t="s">
        <v>1038</v>
      </c>
      <c r="F8" s="346" t="s">
        <v>9</v>
      </c>
      <c r="G8" s="345" t="s">
        <v>1438</v>
      </c>
      <c r="J8" s="347"/>
      <c r="T8" s="341"/>
      <c r="U8" s="342"/>
      <c r="V8" s="341"/>
    </row>
    <row r="9" spans="1:22">
      <c r="C9" s="344"/>
      <c r="D9" s="336"/>
      <c r="E9" s="345" t="s">
        <v>1039</v>
      </c>
      <c r="F9" s="346" t="s">
        <v>9</v>
      </c>
      <c r="G9" s="345" t="s">
        <v>1544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26" t="s">
        <v>0</v>
      </c>
      <c r="C11" s="628" t="s">
        <v>1</v>
      </c>
      <c r="D11" s="617" t="s">
        <v>42</v>
      </c>
      <c r="E11" s="617" t="s">
        <v>43</v>
      </c>
      <c r="F11" s="617" t="s">
        <v>2</v>
      </c>
      <c r="G11" s="631" t="s">
        <v>41</v>
      </c>
      <c r="H11" s="617" t="s">
        <v>3</v>
      </c>
      <c r="I11" s="617"/>
      <c r="J11" s="617"/>
      <c r="K11" s="618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27"/>
      <c r="C12" s="629"/>
      <c r="D12" s="621"/>
      <c r="E12" s="621"/>
      <c r="F12" s="621"/>
      <c r="G12" s="632"/>
      <c r="H12" s="619" t="s">
        <v>46</v>
      </c>
      <c r="I12" s="619" t="s">
        <v>5</v>
      </c>
      <c r="J12" s="621" t="s">
        <v>47</v>
      </c>
      <c r="K12" s="622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27"/>
      <c r="C13" s="630"/>
      <c r="D13" s="621"/>
      <c r="E13" s="621"/>
      <c r="F13" s="621"/>
      <c r="G13" s="633"/>
      <c r="H13" s="620"/>
      <c r="I13" s="620"/>
      <c r="J13" s="621"/>
      <c r="K13" s="622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77"/>
      <c r="C14" s="478"/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5" t="s">
        <v>10</v>
      </c>
      <c r="C15" s="486" t="s">
        <v>1604</v>
      </c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:H51" ca="1" si="4">IF(OR(D15="MDU",D15="MDU-KD"),(IF($O$3="RAB NON MDU","PLN KD",G15*F15)),0)</f>
        <v>0</v>
      </c>
      <c r="I15" s="356">
        <f t="shared" ref="I15:I51" ca="1" si="5">IF(D15="HDW",G15*F15,0)</f>
        <v>0</v>
      </c>
      <c r="J15" s="356">
        <f t="shared" ref="J15:J51" ca="1" si="6">IF(D15="JASA",G15*F15,0)</f>
        <v>0</v>
      </c>
      <c r="K15" s="357">
        <f t="shared" ref="K15:K51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/>
      <c r="B16" s="485"/>
      <c r="C16" s="486"/>
      <c r="D16" s="353" t="str">
        <f ca="1">IF(ISERROR(OFFSET('HARGA SATUAN'!$D$6,MATCH(RAB!C16,'HARGA SATUAN'!$C$7:$C$1492,0),0)),"",OFFSET('HARGA SATUAN'!$D$6,MATCH(RAB!C16,'HARGA SATUAN'!$C$7:$C$1492,0),0))</f>
        <v/>
      </c>
      <c r="E16" s="354" t="str">
        <f ca="1">IF(B16="+","Unit",IF(ISERROR(OFFSET('HARGA SATUAN'!$E$6,MATCH(RAB!C16,'HARGA SATUAN'!$C$7:$C$1492,0),0)),"",OFFSET('HARGA SATUAN'!$E$6,MATCH(RAB!C16,'HARGA SATUAN'!$C$7:$C$1492,0),0)))</f>
        <v/>
      </c>
      <c r="F16" s="361"/>
      <c r="G16" s="355">
        <f ca="1">IF(ISERROR(OFFSET('HARGA SATUAN'!$I$6,MATCH(RAB!C16,'HARGA SATUAN'!$C$7:$C$1492,0),0)),0,OFFSET('HARGA SATUAN'!$I$6,MATCH(RAB!C16,'HARGA SATUAN'!$C$7:$C$1492,0),0))</f>
        <v>0</v>
      </c>
      <c r="H16" s="356">
        <f t="shared" ca="1" si="4"/>
        <v>0</v>
      </c>
      <c r="I16" s="356">
        <f t="shared" ca="1" si="5"/>
        <v>0</v>
      </c>
      <c r="J16" s="356">
        <f t="shared" ca="1" si="6"/>
        <v>0</v>
      </c>
      <c r="K16" s="357">
        <f t="shared" ca="1" si="7"/>
        <v>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92" t="s">
        <v>1034</v>
      </c>
      <c r="C17" s="501" t="s">
        <v>1618</v>
      </c>
      <c r="D17" s="353" t="str">
        <f ca="1">IF(ISERROR(OFFSET('HARGA SATUAN'!$D$6,MATCH(RAB!C17,'HARGA SATUAN'!$C$7:$C$1492,0),0)),"",OFFSET('HARGA SATUAN'!$D$6,MATCH(RAB!C17,'HARGA SATUAN'!$C$7:$C$1492,0),0))</f>
        <v/>
      </c>
      <c r="E17" s="354" t="str">
        <f ca="1">IF(B17="+","Unit",IF(ISERROR(OFFSET('HARGA SATUAN'!$E$6,MATCH(RAB!C17,'HARGA SATUAN'!$C$7:$C$1492,0),0)),"",OFFSET('HARGA SATUAN'!$E$6,MATCH(RAB!C17,'HARGA SATUAN'!$C$7:$C$1492,0),0)))</f>
        <v>Unit</v>
      </c>
      <c r="F17" s="479">
        <v>1</v>
      </c>
      <c r="G17" s="355">
        <f ca="1">IF(ISERROR(OFFSET('HARGA SATUAN'!$I$6,MATCH(RAB!C17,'HARGA SATUAN'!$C$7:$C$1492,0),0)),0,OFFSET('HARGA SATUAN'!$I$6,MATCH(RAB!C17,'HARGA SATUAN'!$C$7:$C$1492,0),0))</f>
        <v>0</v>
      </c>
      <c r="H17" s="356">
        <f t="shared" ca="1" si="4"/>
        <v>0</v>
      </c>
      <c r="I17" s="356">
        <f t="shared" ca="1" si="5"/>
        <v>0</v>
      </c>
      <c r="J17" s="356">
        <f t="shared" ca="1" si="6"/>
        <v>0</v>
      </c>
      <c r="K17" s="357">
        <f t="shared" ca="1" si="7"/>
        <v>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92">
        <v>1</v>
      </c>
      <c r="C18" s="109" t="s">
        <v>1144</v>
      </c>
      <c r="D18" s="353" t="str">
        <f ca="1">IF(ISERROR(OFFSET('HARGA SATUAN'!$D$6,MATCH(RAB!C18,'HARGA SATUAN'!$C$7:$C$1492,0),0)),"",OFFSET('HARGA SATUAN'!$D$6,MATCH(RAB!C18,'HARGA SATUAN'!$C$7:$C$1492,0),0))</f>
        <v>MDU-KD</v>
      </c>
      <c r="E18" s="354" t="str">
        <f ca="1">IF(B18="+","Unit",IF(ISERROR(OFFSET('HARGA SATUAN'!$E$6,MATCH(RAB!C18,'HARGA SATUAN'!$C$7:$C$1492,0),0)),"",OFFSET('HARGA SATUAN'!$E$6,MATCH(RAB!C18,'HARGA SATUAN'!$C$7:$C$1492,0),0)))</f>
        <v>Bh</v>
      </c>
      <c r="F18" s="479">
        <v>1</v>
      </c>
      <c r="G18" s="355">
        <f ca="1">IF(ISERROR(OFFSET('HARGA SATUAN'!$I$6,MATCH(RAB!C18,'HARGA SATUAN'!$C$7:$C$1492,0),0)),0,OFFSET('HARGA SATUAN'!$I$6,MATCH(RAB!C18,'HARGA SATUAN'!$C$7:$C$1492,0),0))</f>
        <v>42757200</v>
      </c>
      <c r="H18" s="356">
        <f t="shared" ca="1" si="4"/>
        <v>42757200</v>
      </c>
      <c r="I18" s="356">
        <f t="shared" ca="1" si="5"/>
        <v>0</v>
      </c>
      <c r="J18" s="356">
        <f t="shared" ca="1" si="6"/>
        <v>0</v>
      </c>
      <c r="K18" s="357">
        <f t="shared" ca="1" si="7"/>
        <v>42757200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94">
        <v>2</v>
      </c>
      <c r="C19" s="495" t="s">
        <v>1608</v>
      </c>
      <c r="D19" s="353" t="str">
        <f ca="1">IF(ISERROR(OFFSET('HARGA SATUAN'!$D$6,MATCH(RAB!C19,'HARGA SATUAN'!$C$7:$C$1492,0),0)),"",OFFSET('HARGA SATUAN'!$D$6,MATCH(RAB!C19,'HARGA SATUAN'!$C$7:$C$1492,0),0))</f>
        <v/>
      </c>
      <c r="E19" s="354" t="str">
        <f ca="1">IF(B19="+","Unit",IF(ISERROR(OFFSET('HARGA SATUAN'!$E$6,MATCH(RAB!C19,'HARGA SATUAN'!$C$7:$C$1492,0),0)),"",OFFSET('HARGA SATUAN'!$E$6,MATCH(RAB!C19,'HARGA SATUAN'!$C$7:$C$1492,0),0)))</f>
        <v/>
      </c>
      <c r="F19" s="496"/>
      <c r="G19" s="355">
        <f ca="1">IF(ISERROR(OFFSET('HARGA SATUAN'!$I$6,MATCH(RAB!C19,'HARGA SATUAN'!$C$7:$C$1492,0),0)),0,OFFSET('HARGA SATUAN'!$I$6,MATCH(RAB!C19,'HARGA SATUAN'!$C$7:$C$1492,0),0))</f>
        <v>0</v>
      </c>
      <c r="H19" s="356">
        <f t="shared" ca="1" si="4"/>
        <v>0</v>
      </c>
      <c r="I19" s="356">
        <f t="shared" ca="1" si="5"/>
        <v>0</v>
      </c>
      <c r="J19" s="356">
        <f t="shared" ca="1" si="6"/>
        <v>0</v>
      </c>
      <c r="K19" s="357">
        <f t="shared" ca="1" si="7"/>
        <v>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/>
      <c r="B20" s="492"/>
      <c r="C20" s="495" t="s">
        <v>65</v>
      </c>
      <c r="D20" s="353" t="str">
        <f ca="1">IF(ISERROR(OFFSET('HARGA SATUAN'!$D$6,MATCH(RAB!C20,'HARGA SATUAN'!$C$7:$C$1492,0),0)),"",OFFSET('HARGA SATUAN'!$D$6,MATCH(RAB!C20,'HARGA SATUAN'!$C$7:$C$1492,0),0))</f>
        <v>MDU-KD</v>
      </c>
      <c r="E20" s="354" t="str">
        <f ca="1">IF(B20="+","Unit",IF(ISERROR(OFFSET('HARGA SATUAN'!$E$6,MATCH(RAB!C20,'HARGA SATUAN'!$C$7:$C$1492,0),0)),"",OFFSET('HARGA SATUAN'!$E$6,MATCH(RAB!C20,'HARGA SATUAN'!$C$7:$C$1492,0),0)))</f>
        <v>Mtr</v>
      </c>
      <c r="F20" s="479">
        <v>9</v>
      </c>
      <c r="G20" s="355">
        <f ca="1">IF(ISERROR(OFFSET('HARGA SATUAN'!$I$6,MATCH(RAB!C20,'HARGA SATUAN'!$C$7:$C$1492,0),0)),0,OFFSET('HARGA SATUAN'!$I$6,MATCH(RAB!C20,'HARGA SATUAN'!$C$7:$C$1492,0),0))</f>
        <v>14200</v>
      </c>
      <c r="H20" s="356">
        <f t="shared" ca="1" si="4"/>
        <v>127800</v>
      </c>
      <c r="I20" s="356">
        <f t="shared" ca="1" si="5"/>
        <v>0</v>
      </c>
      <c r="J20" s="356">
        <f t="shared" ca="1" si="6"/>
        <v>0</v>
      </c>
      <c r="K20" s="357">
        <f t="shared" ca="1" si="7"/>
        <v>127800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492"/>
      <c r="C21" s="495" t="s">
        <v>1609</v>
      </c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/>
      </c>
      <c r="F21" s="479">
        <v>3</v>
      </c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ca="1" si="4"/>
        <v>0</v>
      </c>
      <c r="I21" s="356">
        <f t="shared" ca="1" si="5"/>
        <v>0</v>
      </c>
      <c r="J21" s="356">
        <f t="shared" ca="1" si="6"/>
        <v>0</v>
      </c>
      <c r="K21" s="357">
        <f t="shared" ca="1" si="7"/>
        <v>0</v>
      </c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/>
      <c r="B22" s="492">
        <v>3</v>
      </c>
      <c r="C22" s="109" t="s">
        <v>558</v>
      </c>
      <c r="D22" s="353" t="str">
        <f ca="1">IF(ISERROR(OFFSET('HARGA SATUAN'!$D$6,MATCH(RAB!C22,'HARGA SATUAN'!$C$7:$C$1492,0),0)),"",OFFSET('HARGA SATUAN'!$D$6,MATCH(RAB!C22,'HARGA SATUAN'!$C$7:$C$1492,0),0))</f>
        <v>MDU-KD</v>
      </c>
      <c r="E22" s="354" t="str">
        <f ca="1">IF(B22="+","Unit",IF(ISERROR(OFFSET('HARGA SATUAN'!$E$6,MATCH(RAB!C22,'HARGA SATUAN'!$C$7:$C$1492,0),0)),"",OFFSET('HARGA SATUAN'!$E$6,MATCH(RAB!C22,'HARGA SATUAN'!$C$7:$C$1492,0),0)))</f>
        <v>Bh</v>
      </c>
      <c r="F22" s="479">
        <v>3</v>
      </c>
      <c r="G22" s="355">
        <f ca="1">IF(ISERROR(OFFSET('HARGA SATUAN'!$I$6,MATCH(RAB!C22,'HARGA SATUAN'!$C$7:$C$1492,0),0)),0,OFFSET('HARGA SATUAN'!$I$6,MATCH(RAB!C22,'HARGA SATUAN'!$C$7:$C$1492,0),0))</f>
        <v>725900</v>
      </c>
      <c r="H22" s="356">
        <f t="shared" ca="1" si="4"/>
        <v>2177700</v>
      </c>
      <c r="I22" s="356">
        <f t="shared" ca="1" si="5"/>
        <v>0</v>
      </c>
      <c r="J22" s="356">
        <f t="shared" ca="1" si="6"/>
        <v>0</v>
      </c>
      <c r="K22" s="357">
        <f t="shared" ca="1" si="7"/>
        <v>2177700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492">
        <v>4</v>
      </c>
      <c r="C23" s="493" t="s">
        <v>534</v>
      </c>
      <c r="D23" s="353" t="str">
        <f ca="1">IF(ISERROR(OFFSET('HARGA SATUAN'!$D$6,MATCH(RAB!C23,'HARGA SATUAN'!$C$7:$C$1492,0),0)),"",OFFSET('HARGA SATUAN'!$D$6,MATCH(RAB!C23,'HARGA SATUAN'!$C$7:$C$1492,0),0))</f>
        <v>MDU-KD</v>
      </c>
      <c r="E23" s="354" t="str">
        <f ca="1">IF(B23="+","Unit",IF(ISERROR(OFFSET('HARGA SATUAN'!$E$6,MATCH(RAB!C23,'HARGA SATUAN'!$C$7:$C$1492,0),0)),"",OFFSET('HARGA SATUAN'!$E$6,MATCH(RAB!C23,'HARGA SATUAN'!$C$7:$C$1492,0),0)))</f>
        <v>Bh</v>
      </c>
      <c r="F23" s="479">
        <v>3</v>
      </c>
      <c r="G23" s="355">
        <f ca="1">IF(ISERROR(OFFSET('HARGA SATUAN'!$I$6,MATCH(RAB!C23,'HARGA SATUAN'!$C$7:$C$1492,0),0)),0,OFFSET('HARGA SATUAN'!$I$6,MATCH(RAB!C23,'HARGA SATUAN'!$C$7:$C$1492,0),0))</f>
        <v>848250</v>
      </c>
      <c r="H23" s="356">
        <f t="shared" ca="1" si="4"/>
        <v>2544750</v>
      </c>
      <c r="I23" s="356">
        <f t="shared" ca="1" si="5"/>
        <v>0</v>
      </c>
      <c r="J23" s="356">
        <f t="shared" ca="1" si="6"/>
        <v>0</v>
      </c>
      <c r="K23" s="357">
        <f t="shared" ca="1" si="7"/>
        <v>2544750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492">
        <v>5</v>
      </c>
      <c r="C24" s="493" t="s">
        <v>536</v>
      </c>
      <c r="D24" s="353" t="str">
        <f ca="1">IF(ISERROR(OFFSET('HARGA SATUAN'!$D$6,MATCH(RAB!C24,'HARGA SATUAN'!$C$7:$C$1492,0),0)),"",OFFSET('HARGA SATUAN'!$D$6,MATCH(RAB!C24,'HARGA SATUAN'!$C$7:$C$1492,0),0))</f>
        <v>HDW</v>
      </c>
      <c r="E24" s="354" t="str">
        <f ca="1">IF(B24="+","Unit",IF(ISERROR(OFFSET('HARGA SATUAN'!$E$6,MATCH(RAB!C24,'HARGA SATUAN'!$C$7:$C$1492,0),0)),"",OFFSET('HARGA SATUAN'!$E$6,MATCH(RAB!C24,'HARGA SATUAN'!$C$7:$C$1492,0),0)))</f>
        <v>Bh</v>
      </c>
      <c r="F24" s="479">
        <v>3</v>
      </c>
      <c r="G24" s="355">
        <f ca="1">IF(ISERROR(OFFSET('HARGA SATUAN'!$I$6,MATCH(RAB!C24,'HARGA SATUAN'!$C$7:$C$1492,0),0)),0,OFFSET('HARGA SATUAN'!$I$6,MATCH(RAB!C24,'HARGA SATUAN'!$C$7:$C$1492,0),0))</f>
        <v>17500</v>
      </c>
      <c r="H24" s="356">
        <f t="shared" ca="1" si="4"/>
        <v>0</v>
      </c>
      <c r="I24" s="356">
        <f t="shared" ca="1" si="5"/>
        <v>52500</v>
      </c>
      <c r="J24" s="356">
        <f t="shared" ca="1" si="6"/>
        <v>0</v>
      </c>
      <c r="K24" s="357">
        <f t="shared" ca="1" si="7"/>
        <v>52500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492">
        <v>6</v>
      </c>
      <c r="C25" s="109" t="s">
        <v>1619</v>
      </c>
      <c r="D25" s="353" t="str">
        <f ca="1">IF(ISERROR(OFFSET('HARGA SATUAN'!$D$6,MATCH(RAB!C25,'HARGA SATUAN'!$C$7:$C$1492,0),0)),"",OFFSET('HARGA SATUAN'!$D$6,MATCH(RAB!C25,'HARGA SATUAN'!$C$7:$C$1492,0),0))</f>
        <v/>
      </c>
      <c r="E25" s="354" t="str">
        <f ca="1">IF(B25="+","Unit",IF(ISERROR(OFFSET('HARGA SATUAN'!$E$6,MATCH(RAB!C25,'HARGA SATUAN'!$C$7:$C$1492,0),0)),"",OFFSET('HARGA SATUAN'!$E$6,MATCH(RAB!C25,'HARGA SATUAN'!$C$7:$C$1492,0),0)))</f>
        <v/>
      </c>
      <c r="F25" s="479">
        <v>13</v>
      </c>
      <c r="G25" s="355">
        <f ca="1">IF(ISERROR(OFFSET('HARGA SATUAN'!$I$6,MATCH(RAB!C25,'HARGA SATUAN'!$C$7:$C$1492,0),0)),0,OFFSET('HARGA SATUAN'!$I$6,MATCH(RAB!C25,'HARGA SATUAN'!$C$7:$C$1492,0),0))</f>
        <v>0</v>
      </c>
      <c r="H25" s="356">
        <f t="shared" ca="1" si="4"/>
        <v>0</v>
      </c>
      <c r="I25" s="356">
        <f t="shared" ca="1" si="5"/>
        <v>0</v>
      </c>
      <c r="J25" s="356">
        <f t="shared" ca="1" si="6"/>
        <v>0</v>
      </c>
      <c r="K25" s="357">
        <f t="shared" ca="1" si="7"/>
        <v>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492">
        <v>7</v>
      </c>
      <c r="C26" s="493" t="s">
        <v>163</v>
      </c>
      <c r="D26" s="353" t="str">
        <f ca="1">IF(ISERROR(OFFSET('HARGA SATUAN'!$D$6,MATCH(RAB!C26,'HARGA SATUAN'!$C$7:$C$1492,0),0)),"",OFFSET('HARGA SATUAN'!$D$6,MATCH(RAB!C26,'HARGA SATUAN'!$C$7:$C$1492,0),0))</f>
        <v>HDW</v>
      </c>
      <c r="E26" s="354" t="str">
        <f ca="1">IF(B26="+","Unit",IF(ISERROR(OFFSET('HARGA SATUAN'!$E$6,MATCH(RAB!C26,'HARGA SATUAN'!$C$7:$C$1492,0),0)),"",OFFSET('HARGA SATUAN'!$E$6,MATCH(RAB!C26,'HARGA SATUAN'!$C$7:$C$1492,0),0)))</f>
        <v>Bh</v>
      </c>
      <c r="F26" s="479">
        <v>22</v>
      </c>
      <c r="G26" s="355">
        <f ca="1">IF(ISERROR(OFFSET('HARGA SATUAN'!$I$6,MATCH(RAB!C26,'HARGA SATUAN'!$C$7:$C$1492,0),0)),0,OFFSET('HARGA SATUAN'!$I$6,MATCH(RAB!C26,'HARGA SATUAN'!$C$7:$C$1492,0),0))</f>
        <v>7938</v>
      </c>
      <c r="H26" s="356">
        <f t="shared" ca="1" si="4"/>
        <v>0</v>
      </c>
      <c r="I26" s="356">
        <f t="shared" ca="1" si="5"/>
        <v>174636</v>
      </c>
      <c r="J26" s="356">
        <f t="shared" ca="1" si="6"/>
        <v>0</v>
      </c>
      <c r="K26" s="357">
        <f t="shared" ca="1" si="7"/>
        <v>174636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492">
        <v>8</v>
      </c>
      <c r="C27" s="502" t="s">
        <v>176</v>
      </c>
      <c r="D27" s="353" t="str">
        <f ca="1">IF(ISERROR(OFFSET('HARGA SATUAN'!$D$6,MATCH(RAB!C27,'HARGA SATUAN'!$C$7:$C$1492,0),0)),"",OFFSET('HARGA SATUAN'!$D$6,MATCH(RAB!C27,'HARGA SATUAN'!$C$7:$C$1492,0),0))</f>
        <v>HDW</v>
      </c>
      <c r="E27" s="354" t="str">
        <f ca="1">IF(B27="+","Unit",IF(ISERROR(OFFSET('HARGA SATUAN'!$E$6,MATCH(RAB!C27,'HARGA SATUAN'!$C$7:$C$1492,0),0)),"",OFFSET('HARGA SATUAN'!$E$6,MATCH(RAB!C27,'HARGA SATUAN'!$C$7:$C$1492,0),0)))</f>
        <v>Bh</v>
      </c>
      <c r="F27" s="479">
        <v>1</v>
      </c>
      <c r="G27" s="355">
        <f ca="1">IF(ISERROR(OFFSET('HARGA SATUAN'!$I$6,MATCH(RAB!C27,'HARGA SATUAN'!$C$7:$C$1492,0),0)),0,OFFSET('HARGA SATUAN'!$I$6,MATCH(RAB!C27,'HARGA SATUAN'!$C$7:$C$1492,0),0))</f>
        <v>404600</v>
      </c>
      <c r="H27" s="356">
        <f t="shared" ca="1" si="4"/>
        <v>0</v>
      </c>
      <c r="I27" s="356">
        <f t="shared" ca="1" si="5"/>
        <v>404600</v>
      </c>
      <c r="J27" s="356">
        <f t="shared" ca="1" si="6"/>
        <v>0</v>
      </c>
      <c r="K27" s="357">
        <f t="shared" ca="1" si="7"/>
        <v>404600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492">
        <v>9</v>
      </c>
      <c r="C28" s="493" t="s">
        <v>184</v>
      </c>
      <c r="D28" s="353" t="str">
        <f ca="1">IF(ISERROR(OFFSET('HARGA SATUAN'!$D$6,MATCH(RAB!C28,'HARGA SATUAN'!$C$7:$C$1492,0),0)),"",OFFSET('HARGA SATUAN'!$D$6,MATCH(RAB!C28,'HARGA SATUAN'!$C$7:$C$1492,0),0))</f>
        <v>HDW</v>
      </c>
      <c r="E28" s="354" t="str">
        <f ca="1">IF(B28="+","Unit",IF(ISERROR(OFFSET('HARGA SATUAN'!$E$6,MATCH(RAB!C28,'HARGA SATUAN'!$C$7:$C$1492,0),0)),"",OFFSET('HARGA SATUAN'!$E$6,MATCH(RAB!C28,'HARGA SATUAN'!$C$7:$C$1492,0),0)))</f>
        <v>Bh</v>
      </c>
      <c r="F28" s="479">
        <v>3</v>
      </c>
      <c r="G28" s="355">
        <f ca="1">IF(ISERROR(OFFSET('HARGA SATUAN'!$I$6,MATCH(RAB!C28,'HARGA SATUAN'!$C$7:$C$1492,0),0)),0,OFFSET('HARGA SATUAN'!$I$6,MATCH(RAB!C28,'HARGA SATUAN'!$C$7:$C$1492,0),0))</f>
        <v>15900</v>
      </c>
      <c r="H28" s="356">
        <f t="shared" ca="1" si="4"/>
        <v>0</v>
      </c>
      <c r="I28" s="356">
        <f t="shared" ca="1" si="5"/>
        <v>47700</v>
      </c>
      <c r="J28" s="356">
        <f t="shared" ca="1" si="6"/>
        <v>0</v>
      </c>
      <c r="K28" s="357">
        <f t="shared" ca="1" si="7"/>
        <v>47700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492">
        <v>10</v>
      </c>
      <c r="C29" s="493" t="s">
        <v>591</v>
      </c>
      <c r="D29" s="353" t="str">
        <f ca="1">IF(ISERROR(OFFSET('HARGA SATUAN'!$D$6,MATCH(RAB!C29,'HARGA SATUAN'!$C$7:$C$1492,0),0)),"",OFFSET('HARGA SATUAN'!$D$6,MATCH(RAB!C29,'HARGA SATUAN'!$C$7:$C$1492,0),0))</f>
        <v>HDW</v>
      </c>
      <c r="E29" s="354" t="str">
        <f ca="1">IF(B29="+","Unit",IF(ISERROR(OFFSET('HARGA SATUAN'!$E$6,MATCH(RAB!C29,'HARGA SATUAN'!$C$7:$C$1492,0),0)),"",OFFSET('HARGA SATUAN'!$E$6,MATCH(RAB!C29,'HARGA SATUAN'!$C$7:$C$1492,0),0)))</f>
        <v>Bh</v>
      </c>
      <c r="F29" s="479">
        <v>5</v>
      </c>
      <c r="G29" s="355">
        <f ca="1">IF(ISERROR(OFFSET('HARGA SATUAN'!$I$6,MATCH(RAB!C29,'HARGA SATUAN'!$C$7:$C$1492,0),0)),0,OFFSET('HARGA SATUAN'!$I$6,MATCH(RAB!C29,'HARGA SATUAN'!$C$7:$C$1492,0),0))</f>
        <v>283100</v>
      </c>
      <c r="H29" s="356">
        <f t="shared" ca="1" si="4"/>
        <v>0</v>
      </c>
      <c r="I29" s="356">
        <f t="shared" ca="1" si="5"/>
        <v>1415500</v>
      </c>
      <c r="J29" s="356">
        <f t="shared" ca="1" si="6"/>
        <v>0</v>
      </c>
      <c r="K29" s="357">
        <f t="shared" ca="1" si="7"/>
        <v>1415500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492">
        <v>11</v>
      </c>
      <c r="C30" s="493" t="s">
        <v>592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479">
        <v>4</v>
      </c>
      <c r="G30" s="355">
        <f ca="1">IF(ISERROR(OFFSET('HARGA SATUAN'!$I$6,MATCH(RAB!C30,'HARGA SATUAN'!$C$7:$C$1492,0),0)),0,OFFSET('HARGA SATUAN'!$I$6,MATCH(RAB!C30,'HARGA SATUAN'!$C$7:$C$1492,0),0))</f>
        <v>380500</v>
      </c>
      <c r="H30" s="356">
        <f t="shared" ca="1" si="4"/>
        <v>0</v>
      </c>
      <c r="I30" s="356">
        <f t="shared" ca="1" si="5"/>
        <v>1522000</v>
      </c>
      <c r="J30" s="356">
        <f t="shared" ca="1" si="6"/>
        <v>0</v>
      </c>
      <c r="K30" s="357">
        <f t="shared" ca="1" si="7"/>
        <v>1522000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492">
        <v>12</v>
      </c>
      <c r="C31" s="493" t="s">
        <v>208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Bh</v>
      </c>
      <c r="F31" s="479">
        <v>3</v>
      </c>
      <c r="G31" s="355">
        <f ca="1">IF(ISERROR(OFFSET('HARGA SATUAN'!$I$6,MATCH(RAB!C31,'HARGA SATUAN'!$C$7:$C$1492,0),0)),0,OFFSET('HARGA SATUAN'!$I$6,MATCH(RAB!C31,'HARGA SATUAN'!$C$7:$C$1492,0),0))</f>
        <v>173400</v>
      </c>
      <c r="H31" s="356">
        <f t="shared" ca="1" si="4"/>
        <v>0</v>
      </c>
      <c r="I31" s="356">
        <f t="shared" ca="1" si="5"/>
        <v>520200</v>
      </c>
      <c r="J31" s="356">
        <f t="shared" ca="1" si="6"/>
        <v>0</v>
      </c>
      <c r="K31" s="357">
        <f t="shared" ca="1" si="7"/>
        <v>520200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492">
        <v>13</v>
      </c>
      <c r="C32" s="493" t="s">
        <v>247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Bh</v>
      </c>
      <c r="F32" s="479">
        <v>1</v>
      </c>
      <c r="G32" s="355">
        <f ca="1">IF(ISERROR(OFFSET('HARGA SATUAN'!$I$6,MATCH(RAB!C32,'HARGA SATUAN'!$C$7:$C$1492,0),0)),0,OFFSET('HARGA SATUAN'!$I$6,MATCH(RAB!C32,'HARGA SATUAN'!$C$7:$C$1492,0),0))</f>
        <v>57690</v>
      </c>
      <c r="H32" s="356">
        <f t="shared" ca="1" si="4"/>
        <v>0</v>
      </c>
      <c r="I32" s="356">
        <f t="shared" ca="1" si="5"/>
        <v>57690</v>
      </c>
      <c r="J32" s="356">
        <f t="shared" ca="1" si="6"/>
        <v>0</v>
      </c>
      <c r="K32" s="357">
        <f t="shared" ca="1" si="7"/>
        <v>57690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22" s="363" customFormat="1">
      <c r="A33" s="333"/>
      <c r="B33" s="492">
        <v>14</v>
      </c>
      <c r="C33" s="493" t="s">
        <v>234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Bh</v>
      </c>
      <c r="F33" s="479">
        <v>2</v>
      </c>
      <c r="G33" s="355">
        <f ca="1">IF(ISERROR(OFFSET('HARGA SATUAN'!$I$6,MATCH(RAB!C33,'HARGA SATUAN'!$C$7:$C$1492,0),0)),0,OFFSET('HARGA SATUAN'!$I$6,MATCH(RAB!C33,'HARGA SATUAN'!$C$7:$C$1492,0),0))</f>
        <v>67500</v>
      </c>
      <c r="H33" s="356">
        <f t="shared" ca="1" si="4"/>
        <v>0</v>
      </c>
      <c r="I33" s="356">
        <f t="shared" ca="1" si="5"/>
        <v>135000</v>
      </c>
      <c r="J33" s="356">
        <f t="shared" ca="1" si="6"/>
        <v>0</v>
      </c>
      <c r="K33" s="357">
        <f t="shared" ca="1" si="7"/>
        <v>135000</v>
      </c>
      <c r="L33" s="362"/>
      <c r="M33" s="362"/>
      <c r="N33" s="362"/>
      <c r="O33" s="358"/>
      <c r="P33" s="358"/>
      <c r="Q33" s="341"/>
      <c r="R33" s="333"/>
      <c r="S33" s="359"/>
      <c r="T33" s="338"/>
      <c r="U33" s="338"/>
      <c r="V33" s="338"/>
    </row>
    <row r="34" spans="1:22" s="363" customFormat="1">
      <c r="A34" s="333"/>
      <c r="B34" s="492">
        <v>15</v>
      </c>
      <c r="C34" s="493" t="s">
        <v>267</v>
      </c>
      <c r="D34" s="353" t="str">
        <f ca="1">IF(ISERROR(OFFSET('HARGA SATUAN'!$D$6,MATCH(RAB!C34,'HARGA SATUAN'!$C$7:$C$1492,0),0)),"",OFFSET('HARGA SATUAN'!$D$6,MATCH(RAB!C34,'HARGA SATUAN'!$C$7:$C$1492,0),0))</f>
        <v>HDW</v>
      </c>
      <c r="E34" s="354" t="str">
        <f ca="1">IF(B34="+","Unit",IF(ISERROR(OFFSET('HARGA SATUAN'!$E$6,MATCH(RAB!C34,'HARGA SATUAN'!$C$7:$C$1492,0),0)),"",OFFSET('HARGA SATUAN'!$E$6,MATCH(RAB!C34,'HARGA SATUAN'!$C$7:$C$1492,0),0)))</f>
        <v>Bh</v>
      </c>
      <c r="F34" s="479">
        <v>2</v>
      </c>
      <c r="G34" s="355">
        <f ca="1">IF(ISERROR(OFFSET('HARGA SATUAN'!$I$6,MATCH(RAB!C34,'HARGA SATUAN'!$C$7:$C$1492,0),0)),0,OFFSET('HARGA SATUAN'!$I$6,MATCH(RAB!C34,'HARGA SATUAN'!$C$7:$C$1492,0),0))</f>
        <v>129000</v>
      </c>
      <c r="H34" s="356">
        <f t="shared" ca="1" si="4"/>
        <v>0</v>
      </c>
      <c r="I34" s="356">
        <f t="shared" ca="1" si="5"/>
        <v>258000</v>
      </c>
      <c r="J34" s="356">
        <f t="shared" ca="1" si="6"/>
        <v>0</v>
      </c>
      <c r="K34" s="357">
        <f t="shared" ca="1" si="7"/>
        <v>258000</v>
      </c>
      <c r="L34" s="362"/>
      <c r="M34" s="362"/>
      <c r="N34" s="362"/>
      <c r="O34" s="358"/>
      <c r="P34" s="358"/>
      <c r="Q34" s="341"/>
      <c r="R34" s="333"/>
      <c r="S34" s="359"/>
      <c r="T34" s="338"/>
      <c r="U34" s="338"/>
      <c r="V34" s="338"/>
    </row>
    <row r="35" spans="1:22" s="363" customFormat="1">
      <c r="A35" s="333"/>
      <c r="B35" s="492">
        <v>16</v>
      </c>
      <c r="C35" s="493" t="s">
        <v>606</v>
      </c>
      <c r="D35" s="353" t="str">
        <f ca="1">IF(ISERROR(OFFSET('HARGA SATUAN'!$D$6,MATCH(RAB!C35,'HARGA SATUAN'!$C$7:$C$1492,0),0)),"",OFFSET('HARGA SATUAN'!$D$6,MATCH(RAB!C35,'HARGA SATUAN'!$C$7:$C$1492,0),0))</f>
        <v>HDW</v>
      </c>
      <c r="E35" s="354" t="str">
        <f ca="1">IF(B35="+","Unit",IF(ISERROR(OFFSET('HARGA SATUAN'!$E$6,MATCH(RAB!C35,'HARGA SATUAN'!$C$7:$C$1492,0),0)),"",OFFSET('HARGA SATUAN'!$E$6,MATCH(RAB!C35,'HARGA SATUAN'!$C$7:$C$1492,0),0)))</f>
        <v>Bh</v>
      </c>
      <c r="F35" s="479">
        <v>4</v>
      </c>
      <c r="G35" s="355">
        <f ca="1">IF(ISERROR(OFFSET('HARGA SATUAN'!$I$6,MATCH(RAB!C35,'HARGA SATUAN'!$C$7:$C$1492,0),0)),0,OFFSET('HARGA SATUAN'!$I$6,MATCH(RAB!C35,'HARGA SATUAN'!$C$7:$C$1492,0),0))</f>
        <v>250000</v>
      </c>
      <c r="H35" s="356">
        <f t="shared" ca="1" si="4"/>
        <v>0</v>
      </c>
      <c r="I35" s="356">
        <f t="shared" ca="1" si="5"/>
        <v>1000000</v>
      </c>
      <c r="J35" s="356">
        <f t="shared" ca="1" si="6"/>
        <v>0</v>
      </c>
      <c r="K35" s="357">
        <f t="shared" ca="1" si="7"/>
        <v>1000000</v>
      </c>
      <c r="L35" s="362"/>
      <c r="M35" s="362"/>
      <c r="N35" s="362"/>
      <c r="O35" s="358"/>
      <c r="P35" s="358"/>
      <c r="Q35" s="341"/>
      <c r="R35" s="333"/>
      <c r="S35" s="359"/>
      <c r="T35" s="338"/>
      <c r="U35" s="338"/>
      <c r="V35" s="338"/>
    </row>
    <row r="36" spans="1:22" s="363" customFormat="1">
      <c r="A36" s="333"/>
      <c r="B36" s="492">
        <v>17</v>
      </c>
      <c r="C36" s="493" t="s">
        <v>782</v>
      </c>
      <c r="D36" s="353" t="str">
        <f ca="1">IF(ISERROR(OFFSET('HARGA SATUAN'!$D$6,MATCH(RAB!C36,'HARGA SATUAN'!$C$7:$C$1492,0),0)),"",OFFSET('HARGA SATUAN'!$D$6,MATCH(RAB!C36,'HARGA SATUAN'!$C$7:$C$1492,0),0))</f>
        <v>JASA</v>
      </c>
      <c r="E36" s="354" t="str">
        <f ca="1">IF(B36="+","Unit",IF(ISERROR(OFFSET('HARGA SATUAN'!$E$6,MATCH(RAB!C36,'HARGA SATUAN'!$C$7:$C$1492,0),0)),"",OFFSET('HARGA SATUAN'!$E$6,MATCH(RAB!C36,'HARGA SATUAN'!$C$7:$C$1492,0),0)))</f>
        <v>Unit</v>
      </c>
      <c r="F36" s="361">
        <v>1</v>
      </c>
      <c r="G36" s="355">
        <f ca="1">IF(ISERROR(OFFSET('HARGA SATUAN'!$I$6,MATCH(RAB!C36,'HARGA SATUAN'!$C$7:$C$1492,0),0)),0,OFFSET('HARGA SATUAN'!$I$6,MATCH(RAB!C36,'HARGA SATUAN'!$C$7:$C$1492,0),0))</f>
        <v>1182800</v>
      </c>
      <c r="H36" s="356">
        <f t="shared" ca="1" si="4"/>
        <v>0</v>
      </c>
      <c r="I36" s="356">
        <f t="shared" ca="1" si="5"/>
        <v>0</v>
      </c>
      <c r="J36" s="356">
        <f t="shared" ca="1" si="6"/>
        <v>1182800</v>
      </c>
      <c r="K36" s="357">
        <f t="shared" ca="1" si="7"/>
        <v>1182800</v>
      </c>
      <c r="L36" s="362"/>
      <c r="M36" s="362"/>
      <c r="N36" s="362"/>
      <c r="O36" s="358"/>
      <c r="P36" s="358"/>
      <c r="Q36" s="341"/>
      <c r="R36" s="333"/>
      <c r="S36" s="359"/>
      <c r="T36" s="338"/>
      <c r="U36" s="338"/>
      <c r="V36" s="338"/>
    </row>
    <row r="37" spans="1:22" s="363" customFormat="1">
      <c r="A37" s="333"/>
      <c r="B37" s="492">
        <v>18</v>
      </c>
      <c r="C37" s="493" t="s">
        <v>461</v>
      </c>
      <c r="D37" s="353" t="str">
        <f ca="1">IF(ISERROR(OFFSET('HARGA SATUAN'!$D$6,MATCH(RAB!C37,'HARGA SATUAN'!$C$7:$C$1492,0),0)),"",OFFSET('HARGA SATUAN'!$D$6,MATCH(RAB!C37,'HARGA SATUAN'!$C$7:$C$1492,0),0))</f>
        <v>HDW</v>
      </c>
      <c r="E37" s="354" t="str">
        <f ca="1">IF(B37="+","Unit",IF(ISERROR(OFFSET('HARGA SATUAN'!$E$6,MATCH(RAB!C37,'HARGA SATUAN'!$C$7:$C$1492,0),0)),"",OFFSET('HARGA SATUAN'!$E$6,MATCH(RAB!C37,'HARGA SATUAN'!$C$7:$C$1492,0),0)))</f>
        <v>Set</v>
      </c>
      <c r="F37" s="361">
        <v>1</v>
      </c>
      <c r="G37" s="355">
        <f ca="1">IF(ISERROR(OFFSET('HARGA SATUAN'!$I$6,MATCH(RAB!C37,'HARGA SATUAN'!$C$7:$C$1492,0),0)),0,OFFSET('HARGA SATUAN'!$I$6,MATCH(RAB!C37,'HARGA SATUAN'!$C$7:$C$1492,0),0))</f>
        <v>200000</v>
      </c>
      <c r="H37" s="356">
        <f t="shared" ref="H37:H40" ca="1" si="8">IF(OR(D37="MDU",D37="MDU-KD"),(IF($O$3="RAB NON MDU","PLN KD",G37*F37)),0)</f>
        <v>0</v>
      </c>
      <c r="I37" s="356">
        <f t="shared" ref="I37:I40" ca="1" si="9">IF(D37="HDW",G37*F37,0)</f>
        <v>200000</v>
      </c>
      <c r="J37" s="356">
        <f t="shared" ref="J37:J40" ca="1" si="10">IF(D37="JASA",G37*F37,0)</f>
        <v>0</v>
      </c>
      <c r="K37" s="357">
        <f t="shared" ref="K37:K40" ca="1" si="11">SUM(H37:J37)</f>
        <v>200000</v>
      </c>
      <c r="L37" s="362"/>
      <c r="M37" s="362"/>
      <c r="N37" s="362"/>
      <c r="O37" s="358"/>
      <c r="P37" s="358"/>
      <c r="Q37" s="341"/>
      <c r="R37" s="333"/>
      <c r="S37" s="359"/>
      <c r="T37" s="338"/>
      <c r="U37" s="338"/>
      <c r="V37" s="338"/>
    </row>
    <row r="38" spans="1:22" s="363" customFormat="1">
      <c r="A38" s="333"/>
      <c r="B38" s="492"/>
      <c r="C38" s="493"/>
      <c r="D38" s="353" t="str">
        <f ca="1">IF(ISERROR(OFFSET('HARGA SATUAN'!$D$6,MATCH(RAB!C38,'HARGA SATUAN'!$C$7:$C$1492,0),0)),"",OFFSET('HARGA SATUAN'!$D$6,MATCH(RAB!C38,'HARGA SATUAN'!$C$7:$C$1492,0),0))</f>
        <v/>
      </c>
      <c r="E38" s="354" t="str">
        <f ca="1">IF(B38="+","Unit",IF(ISERROR(OFFSET('HARGA SATUAN'!$E$6,MATCH(RAB!C38,'HARGA SATUAN'!$C$7:$C$1492,0),0)),"",OFFSET('HARGA SATUAN'!$E$6,MATCH(RAB!C38,'HARGA SATUAN'!$C$7:$C$1492,0),0)))</f>
        <v/>
      </c>
      <c r="F38" s="361"/>
      <c r="G38" s="355">
        <f ca="1">IF(ISERROR(OFFSET('HARGA SATUAN'!$I$6,MATCH(RAB!C38,'HARGA SATUAN'!$C$7:$C$1492,0),0)),0,OFFSET('HARGA SATUAN'!$I$6,MATCH(RAB!C38,'HARGA SATUAN'!$C$7:$C$1492,0),0))</f>
        <v>0</v>
      </c>
      <c r="H38" s="356">
        <f t="shared" ca="1" si="8"/>
        <v>0</v>
      </c>
      <c r="I38" s="356">
        <f t="shared" ca="1" si="9"/>
        <v>0</v>
      </c>
      <c r="J38" s="356">
        <f t="shared" ca="1" si="10"/>
        <v>0</v>
      </c>
      <c r="K38" s="357">
        <f t="shared" ca="1" si="11"/>
        <v>0</v>
      </c>
      <c r="L38" s="362"/>
      <c r="M38" s="362"/>
      <c r="N38" s="362"/>
      <c r="O38" s="358"/>
      <c r="P38" s="358"/>
      <c r="Q38" s="341"/>
      <c r="R38" s="333"/>
      <c r="S38" s="359"/>
      <c r="T38" s="338"/>
      <c r="U38" s="338"/>
      <c r="V38" s="338"/>
    </row>
    <row r="39" spans="1:22" s="363" customFormat="1">
      <c r="A39" s="333"/>
      <c r="B39" s="492"/>
      <c r="C39" s="493"/>
      <c r="D39" s="353" t="str">
        <f ca="1">IF(ISERROR(OFFSET('HARGA SATUAN'!$D$6,MATCH(RAB!C39,'HARGA SATUAN'!$C$7:$C$1492,0),0)),"",OFFSET('HARGA SATUAN'!$D$6,MATCH(RAB!C39,'HARGA SATUAN'!$C$7:$C$1492,0),0))</f>
        <v/>
      </c>
      <c r="E39" s="354" t="str">
        <f ca="1">IF(B39="+","Unit",IF(ISERROR(OFFSET('HARGA SATUAN'!$E$6,MATCH(RAB!C39,'HARGA SATUAN'!$C$7:$C$1492,0),0)),"",OFFSET('HARGA SATUAN'!$E$6,MATCH(RAB!C39,'HARGA SATUAN'!$C$7:$C$1492,0),0)))</f>
        <v/>
      </c>
      <c r="F39" s="361"/>
      <c r="G39" s="355">
        <f ca="1">IF(ISERROR(OFFSET('HARGA SATUAN'!$I$6,MATCH(RAB!C39,'HARGA SATUAN'!$C$7:$C$1492,0),0)),0,OFFSET('HARGA SATUAN'!$I$6,MATCH(RAB!C39,'HARGA SATUAN'!$C$7:$C$1492,0),0))</f>
        <v>0</v>
      </c>
      <c r="H39" s="356">
        <f t="shared" ca="1" si="8"/>
        <v>0</v>
      </c>
      <c r="I39" s="356">
        <f t="shared" ca="1" si="9"/>
        <v>0</v>
      </c>
      <c r="J39" s="356">
        <f t="shared" ca="1" si="10"/>
        <v>0</v>
      </c>
      <c r="K39" s="357">
        <f t="shared" ca="1" si="11"/>
        <v>0</v>
      </c>
      <c r="L39" s="362"/>
      <c r="M39" s="362"/>
      <c r="N39" s="362"/>
      <c r="O39" s="358"/>
      <c r="P39" s="358"/>
      <c r="Q39" s="341"/>
      <c r="R39" s="333"/>
      <c r="S39" s="359"/>
      <c r="T39" s="338"/>
      <c r="U39" s="338"/>
      <c r="V39" s="338"/>
    </row>
    <row r="40" spans="1:22" s="363" customFormat="1">
      <c r="A40" s="333"/>
      <c r="B40" s="494" t="s">
        <v>1034</v>
      </c>
      <c r="C40" s="497" t="s">
        <v>1610</v>
      </c>
      <c r="D40" s="353" t="str">
        <f ca="1">IF(ISERROR(OFFSET('HARGA SATUAN'!$D$6,MATCH(RAB!C40,'HARGA SATUAN'!$C$7:$C$1492,0),0)),"",OFFSET('HARGA SATUAN'!$D$6,MATCH(RAB!C40,'HARGA SATUAN'!$C$7:$C$1492,0),0))</f>
        <v/>
      </c>
      <c r="E40" s="354" t="str">
        <f ca="1">IF(B40="+","Unit",IF(ISERROR(OFFSET('HARGA SATUAN'!$E$6,MATCH(RAB!C40,'HARGA SATUAN'!$C$7:$C$1492,0),0)),"",OFFSET('HARGA SATUAN'!$E$6,MATCH(RAB!C40,'HARGA SATUAN'!$C$7:$C$1492,0),0)))</f>
        <v>Unit</v>
      </c>
      <c r="F40" s="479">
        <v>2</v>
      </c>
      <c r="G40" s="355">
        <f ca="1">IF(ISERROR(OFFSET('HARGA SATUAN'!$I$6,MATCH(RAB!C40,'HARGA SATUAN'!$C$7:$C$1492,0),0)),0,OFFSET('HARGA SATUAN'!$I$6,MATCH(RAB!C40,'HARGA SATUAN'!$C$7:$C$1492,0),0))</f>
        <v>0</v>
      </c>
      <c r="H40" s="356">
        <f t="shared" ca="1" si="8"/>
        <v>0</v>
      </c>
      <c r="I40" s="356">
        <f t="shared" ca="1" si="9"/>
        <v>0</v>
      </c>
      <c r="J40" s="356">
        <f t="shared" ca="1" si="10"/>
        <v>0</v>
      </c>
      <c r="K40" s="357">
        <f t="shared" ca="1" si="11"/>
        <v>0</v>
      </c>
      <c r="L40" s="362"/>
      <c r="M40" s="362"/>
      <c r="N40" s="362"/>
      <c r="O40" s="358"/>
      <c r="P40" s="358"/>
      <c r="Q40" s="341"/>
      <c r="R40" s="333"/>
      <c r="S40" s="359"/>
      <c r="T40" s="338"/>
      <c r="U40" s="338"/>
      <c r="V40" s="338"/>
    </row>
    <row r="41" spans="1:22" s="363" customFormat="1">
      <c r="A41" s="333"/>
      <c r="B41" s="494">
        <v>1</v>
      </c>
      <c r="C41" s="498" t="s">
        <v>29</v>
      </c>
      <c r="D41" s="353" t="str">
        <f ca="1">IF(ISERROR(OFFSET('HARGA SATUAN'!$D$6,MATCH(RAB!C41,'HARGA SATUAN'!$C$7:$C$1492,0),0)),"",OFFSET('HARGA SATUAN'!$D$6,MATCH(RAB!C41,'HARGA SATUAN'!$C$7:$C$1492,0),0))</f>
        <v>HDW</v>
      </c>
      <c r="E41" s="354" t="str">
        <f ca="1">IF(B41="+","Unit",IF(ISERROR(OFFSET('HARGA SATUAN'!$E$6,MATCH(RAB!C41,'HARGA SATUAN'!$C$7:$C$1492,0),0)),"",OFFSET('HARGA SATUAN'!$E$6,MATCH(RAB!C41,'HARGA SATUAN'!$C$7:$C$1492,0),0)))</f>
        <v>Bh</v>
      </c>
      <c r="F41" s="479">
        <f>F40*1</f>
        <v>2</v>
      </c>
      <c r="G41" s="355">
        <f ca="1">IF(ISERROR(OFFSET('HARGA SATUAN'!$I$6,MATCH(RAB!C41,'HARGA SATUAN'!$C$7:$C$1492,0),0)),0,OFFSET('HARGA SATUAN'!$I$6,MATCH(RAB!C41,'HARGA SATUAN'!$C$7:$C$1492,0),0))</f>
        <v>185200</v>
      </c>
      <c r="H41" s="356">
        <f t="shared" ca="1" si="4"/>
        <v>0</v>
      </c>
      <c r="I41" s="356">
        <f t="shared" ca="1" si="5"/>
        <v>370400</v>
      </c>
      <c r="J41" s="356">
        <f t="shared" ca="1" si="6"/>
        <v>0</v>
      </c>
      <c r="K41" s="357">
        <f t="shared" ca="1" si="7"/>
        <v>370400</v>
      </c>
      <c r="L41" s="362"/>
      <c r="M41" s="362"/>
      <c r="N41" s="362"/>
      <c r="O41" s="358"/>
      <c r="P41" s="358"/>
      <c r="Q41" s="341"/>
      <c r="R41" s="333"/>
      <c r="S41" s="359"/>
      <c r="T41" s="338"/>
      <c r="U41" s="338"/>
      <c r="V41" s="338"/>
    </row>
    <row r="42" spans="1:22" s="363" customFormat="1">
      <c r="A42" s="333"/>
      <c r="B42" s="492">
        <v>2</v>
      </c>
      <c r="C42" s="493" t="s">
        <v>30</v>
      </c>
      <c r="D42" s="353" t="str">
        <f ca="1">IF(ISERROR(OFFSET('HARGA SATUAN'!$D$6,MATCH(RAB!C42,'HARGA SATUAN'!$C$7:$C$1492,0),0)),"",OFFSET('HARGA SATUAN'!$D$6,MATCH(RAB!C42,'HARGA SATUAN'!$C$7:$C$1492,0),0))</f>
        <v>HDW</v>
      </c>
      <c r="E42" s="354" t="str">
        <f ca="1">IF(B42="+","Unit",IF(ISERROR(OFFSET('HARGA SATUAN'!$E$6,MATCH(RAB!C42,'HARGA SATUAN'!$C$7:$C$1492,0),0)),"",OFFSET('HARGA SATUAN'!$E$6,MATCH(RAB!C42,'HARGA SATUAN'!$C$7:$C$1492,0),0)))</f>
        <v>Bh</v>
      </c>
      <c r="F42" s="479">
        <f>F40*1</f>
        <v>2</v>
      </c>
      <c r="G42" s="355">
        <f ca="1">IF(ISERROR(OFFSET('HARGA SATUAN'!$I$6,MATCH(RAB!C42,'HARGA SATUAN'!$C$7:$C$1492,0),0)),0,OFFSET('HARGA SATUAN'!$I$6,MATCH(RAB!C42,'HARGA SATUAN'!$C$7:$C$1492,0),0))</f>
        <v>47459</v>
      </c>
      <c r="H42" s="356">
        <f t="shared" ca="1" si="4"/>
        <v>0</v>
      </c>
      <c r="I42" s="356">
        <f t="shared" ca="1" si="5"/>
        <v>94918</v>
      </c>
      <c r="J42" s="356">
        <f t="shared" ca="1" si="6"/>
        <v>0</v>
      </c>
      <c r="K42" s="357">
        <f t="shared" ca="1" si="7"/>
        <v>94918</v>
      </c>
      <c r="L42" s="362"/>
      <c r="M42" s="362"/>
      <c r="N42" s="362"/>
      <c r="O42" s="358"/>
      <c r="P42" s="358"/>
      <c r="Q42" s="341"/>
      <c r="R42" s="333"/>
      <c r="S42" s="359"/>
      <c r="T42" s="338"/>
      <c r="U42" s="338"/>
      <c r="V42" s="338"/>
    </row>
    <row r="43" spans="1:22" s="363" customFormat="1">
      <c r="A43" s="333"/>
      <c r="B43" s="492">
        <v>3</v>
      </c>
      <c r="C43" s="493" t="s">
        <v>31</v>
      </c>
      <c r="D43" s="353" t="str">
        <f ca="1">IF(ISERROR(OFFSET('HARGA SATUAN'!$D$6,MATCH(RAB!C43,'HARGA SATUAN'!$C$7:$C$1492,0),0)),"",OFFSET('HARGA SATUAN'!$D$6,MATCH(RAB!C43,'HARGA SATUAN'!$C$7:$C$1492,0),0))</f>
        <v>HDW</v>
      </c>
      <c r="E43" s="354" t="str">
        <f ca="1">IF(B43="+","Unit",IF(ISERROR(OFFSET('HARGA SATUAN'!$E$6,MATCH(RAB!C43,'HARGA SATUAN'!$C$7:$C$1492,0),0)),"",OFFSET('HARGA SATUAN'!$E$6,MATCH(RAB!C43,'HARGA SATUAN'!$C$7:$C$1492,0),0)))</f>
        <v>Bh</v>
      </c>
      <c r="F43" s="479">
        <f>F40*1</f>
        <v>2</v>
      </c>
      <c r="G43" s="355">
        <f ca="1">IF(ISERROR(OFFSET('HARGA SATUAN'!$I$6,MATCH(RAB!C43,'HARGA SATUAN'!$C$7:$C$1492,0),0)),0,OFFSET('HARGA SATUAN'!$I$6,MATCH(RAB!C43,'HARGA SATUAN'!$C$7:$C$1492,0),0))</f>
        <v>4880</v>
      </c>
      <c r="H43" s="356">
        <f t="shared" ca="1" si="4"/>
        <v>0</v>
      </c>
      <c r="I43" s="356">
        <f t="shared" ca="1" si="5"/>
        <v>9760</v>
      </c>
      <c r="J43" s="356">
        <f t="shared" ca="1" si="6"/>
        <v>0</v>
      </c>
      <c r="K43" s="357">
        <f t="shared" ca="1" si="7"/>
        <v>9760</v>
      </c>
      <c r="L43" s="362"/>
      <c r="M43" s="362"/>
      <c r="N43" s="362"/>
      <c r="O43" s="358"/>
      <c r="P43" s="358"/>
      <c r="Q43" s="341"/>
      <c r="R43" s="333"/>
      <c r="S43" s="359"/>
      <c r="T43" s="338"/>
      <c r="U43" s="338"/>
      <c r="V43" s="338"/>
    </row>
    <row r="44" spans="1:22" s="363" customFormat="1">
      <c r="A44" s="333"/>
      <c r="B44" s="492">
        <v>4</v>
      </c>
      <c r="C44" s="493" t="s">
        <v>32</v>
      </c>
      <c r="D44" s="353" t="str">
        <f ca="1">IF(ISERROR(OFFSET('HARGA SATUAN'!$D$6,MATCH(RAB!C44,'HARGA SATUAN'!$C$7:$C$1492,0),0)),"",OFFSET('HARGA SATUAN'!$D$6,MATCH(RAB!C44,'HARGA SATUAN'!$C$7:$C$1492,0),0))</f>
        <v>HDW</v>
      </c>
      <c r="E44" s="354" t="str">
        <f ca="1">IF(B44="+","Unit",IF(ISERROR(OFFSET('HARGA SATUAN'!$E$6,MATCH(RAB!C44,'HARGA SATUAN'!$C$7:$C$1492,0),0)),"",OFFSET('HARGA SATUAN'!$E$6,MATCH(RAB!C44,'HARGA SATUAN'!$C$7:$C$1492,0),0)))</f>
        <v>Mtr</v>
      </c>
      <c r="F44" s="479">
        <f>F40*10</f>
        <v>20</v>
      </c>
      <c r="G44" s="355">
        <f ca="1">IF(ISERROR(OFFSET('HARGA SATUAN'!$I$6,MATCH(RAB!C44,'HARGA SATUAN'!$C$7:$C$1492,0),0)),0,OFFSET('HARGA SATUAN'!$I$6,MATCH(RAB!C44,'HARGA SATUAN'!$C$7:$C$1492,0),0))</f>
        <v>30000</v>
      </c>
      <c r="H44" s="356">
        <f t="shared" ca="1" si="4"/>
        <v>0</v>
      </c>
      <c r="I44" s="356">
        <f t="shared" ca="1" si="5"/>
        <v>600000</v>
      </c>
      <c r="J44" s="356">
        <f t="shared" ca="1" si="6"/>
        <v>0</v>
      </c>
      <c r="K44" s="357">
        <f t="shared" ca="1" si="7"/>
        <v>600000</v>
      </c>
      <c r="L44" s="362"/>
      <c r="M44" s="362"/>
      <c r="N44" s="362"/>
      <c r="O44" s="358"/>
      <c r="P44" s="358"/>
      <c r="Q44" s="341"/>
      <c r="R44" s="333"/>
      <c r="S44" s="359"/>
      <c r="T44" s="338"/>
      <c r="U44" s="338"/>
      <c r="V44" s="338"/>
    </row>
    <row r="45" spans="1:22" s="363" customFormat="1">
      <c r="A45" s="333"/>
      <c r="B45" s="492">
        <v>5</v>
      </c>
      <c r="C45" s="493" t="s">
        <v>33</v>
      </c>
      <c r="D45" s="353" t="str">
        <f ca="1">IF(ISERROR(OFFSET('HARGA SATUAN'!$D$6,MATCH(RAB!C45,'HARGA SATUAN'!$C$7:$C$1492,0),0)),"",OFFSET('HARGA SATUAN'!$D$6,MATCH(RAB!C45,'HARGA SATUAN'!$C$7:$C$1492,0),0))</f>
        <v>HDW</v>
      </c>
      <c r="E45" s="354" t="str">
        <f ca="1">IF(B45="+","Unit",IF(ISERROR(OFFSET('HARGA SATUAN'!$E$6,MATCH(RAB!C45,'HARGA SATUAN'!$C$7:$C$1492,0),0)),"",OFFSET('HARGA SATUAN'!$E$6,MATCH(RAB!C45,'HARGA SATUAN'!$C$7:$C$1492,0),0)))</f>
        <v>Bh</v>
      </c>
      <c r="F45" s="479">
        <f>F40*2</f>
        <v>4</v>
      </c>
      <c r="G45" s="355">
        <f ca="1">IF(ISERROR(OFFSET('HARGA SATUAN'!$I$6,MATCH(RAB!C45,'HARGA SATUAN'!$C$7:$C$1492,0),0)),0,OFFSET('HARGA SATUAN'!$I$6,MATCH(RAB!C45,'HARGA SATUAN'!$C$7:$C$1492,0),0))</f>
        <v>9500</v>
      </c>
      <c r="H45" s="356">
        <f t="shared" ca="1" si="4"/>
        <v>0</v>
      </c>
      <c r="I45" s="356">
        <f t="shared" ca="1" si="5"/>
        <v>38000</v>
      </c>
      <c r="J45" s="356">
        <f t="shared" ca="1" si="6"/>
        <v>0</v>
      </c>
      <c r="K45" s="357">
        <f t="shared" ca="1" si="7"/>
        <v>38000</v>
      </c>
      <c r="L45" s="362"/>
      <c r="M45" s="362"/>
      <c r="N45" s="362"/>
      <c r="O45" s="358"/>
      <c r="P45" s="358"/>
      <c r="Q45" s="341"/>
      <c r="R45" s="333"/>
      <c r="S45" s="359"/>
      <c r="T45" s="338"/>
      <c r="U45" s="338"/>
      <c r="V45" s="338"/>
    </row>
    <row r="46" spans="1:22" s="363" customFormat="1">
      <c r="A46" s="333"/>
      <c r="B46" s="492">
        <v>6</v>
      </c>
      <c r="C46" s="493" t="s">
        <v>34</v>
      </c>
      <c r="D46" s="353" t="str">
        <f ca="1">IF(ISERROR(OFFSET('HARGA SATUAN'!$D$6,MATCH(RAB!C46,'HARGA SATUAN'!$C$7:$C$1492,0),0)),"",OFFSET('HARGA SATUAN'!$D$6,MATCH(RAB!C46,'HARGA SATUAN'!$C$7:$C$1492,0),0))</f>
        <v>HDW</v>
      </c>
      <c r="E46" s="354" t="str">
        <f ca="1">IF(B46="+","Unit",IF(ISERROR(OFFSET('HARGA SATUAN'!$E$6,MATCH(RAB!C46,'HARGA SATUAN'!$C$7:$C$1492,0),0)),"",OFFSET('HARGA SATUAN'!$E$6,MATCH(RAB!C46,'HARGA SATUAN'!$C$7:$C$1492,0),0)))</f>
        <v>Bh</v>
      </c>
      <c r="F46" s="479">
        <f>F40*5.5</f>
        <v>11</v>
      </c>
      <c r="G46" s="355">
        <f ca="1">IF(ISERROR(OFFSET('HARGA SATUAN'!$I$6,MATCH(RAB!C46,'HARGA SATUAN'!$C$7:$C$1492,0),0)),0,OFFSET('HARGA SATUAN'!$I$6,MATCH(RAB!C46,'HARGA SATUAN'!$C$7:$C$1492,0),0))</f>
        <v>6100</v>
      </c>
      <c r="H46" s="356">
        <f t="shared" ca="1" si="4"/>
        <v>0</v>
      </c>
      <c r="I46" s="356">
        <f t="shared" ca="1" si="5"/>
        <v>67100</v>
      </c>
      <c r="J46" s="356">
        <f t="shared" ca="1" si="6"/>
        <v>0</v>
      </c>
      <c r="K46" s="357">
        <f t="shared" ca="1" si="7"/>
        <v>67100</v>
      </c>
      <c r="L46" s="362"/>
      <c r="M46" s="362"/>
      <c r="N46" s="362"/>
      <c r="O46" s="358"/>
      <c r="P46" s="358"/>
      <c r="Q46" s="341"/>
      <c r="R46" s="333"/>
      <c r="S46" s="359"/>
      <c r="T46" s="338"/>
      <c r="U46" s="338"/>
      <c r="V46" s="338"/>
    </row>
    <row r="47" spans="1:22" s="363" customFormat="1">
      <c r="A47" s="333"/>
      <c r="B47" s="492">
        <v>7</v>
      </c>
      <c r="C47" s="493" t="s">
        <v>35</v>
      </c>
      <c r="D47" s="353" t="str">
        <f ca="1">IF(ISERROR(OFFSET('HARGA SATUAN'!$D$6,MATCH(RAB!C47,'HARGA SATUAN'!$C$7:$C$1492,0),0)),"",OFFSET('HARGA SATUAN'!$D$6,MATCH(RAB!C47,'HARGA SATUAN'!$C$7:$C$1492,0),0))</f>
        <v>HDW</v>
      </c>
      <c r="E47" s="354" t="str">
        <f ca="1">IF(B47="+","Unit",IF(ISERROR(OFFSET('HARGA SATUAN'!$E$6,MATCH(RAB!C47,'HARGA SATUAN'!$C$7:$C$1492,0),0)),"",OFFSET('HARGA SATUAN'!$E$6,MATCH(RAB!C47,'HARGA SATUAN'!$C$7:$C$1492,0),0)))</f>
        <v>Bh</v>
      </c>
      <c r="F47" s="479">
        <f>F40*6</f>
        <v>12</v>
      </c>
      <c r="G47" s="355">
        <f ca="1">IF(ISERROR(OFFSET('HARGA SATUAN'!$I$6,MATCH(RAB!C47,'HARGA SATUAN'!$C$7:$C$1492,0),0)),0,OFFSET('HARGA SATUAN'!$I$6,MATCH(RAB!C47,'HARGA SATUAN'!$C$7:$C$1492,0),0))</f>
        <v>2300</v>
      </c>
      <c r="H47" s="356">
        <f t="shared" ca="1" si="4"/>
        <v>0</v>
      </c>
      <c r="I47" s="356">
        <f t="shared" ca="1" si="5"/>
        <v>27600</v>
      </c>
      <c r="J47" s="356">
        <f t="shared" ca="1" si="6"/>
        <v>0</v>
      </c>
      <c r="K47" s="357">
        <f t="shared" ca="1" si="7"/>
        <v>27600</v>
      </c>
      <c r="L47" s="362"/>
      <c r="M47" s="362"/>
      <c r="N47" s="362"/>
      <c r="O47" s="358"/>
      <c r="P47" s="358"/>
      <c r="Q47" s="341"/>
      <c r="R47" s="333"/>
      <c r="S47" s="359"/>
      <c r="T47" s="338"/>
      <c r="U47" s="338"/>
      <c r="V47" s="338"/>
    </row>
    <row r="48" spans="1:22" s="363" customFormat="1">
      <c r="A48" s="333"/>
      <c r="B48" s="492">
        <v>8</v>
      </c>
      <c r="C48" s="493" t="s">
        <v>1611</v>
      </c>
      <c r="D48" s="353" t="str">
        <f ca="1">IF(ISERROR(OFFSET('HARGA SATUAN'!$D$6,MATCH(RAB!C48,'HARGA SATUAN'!$C$7:$C$1492,0),0)),"",OFFSET('HARGA SATUAN'!$D$6,MATCH(RAB!C48,'HARGA SATUAN'!$C$7:$C$1492,0),0))</f>
        <v>HDW</v>
      </c>
      <c r="E48" s="354" t="str">
        <f ca="1">IF(B48="+","Unit",IF(ISERROR(OFFSET('HARGA SATUAN'!$E$6,MATCH(RAB!C48,'HARGA SATUAN'!$C$7:$C$1492,0),0)),"",OFFSET('HARGA SATUAN'!$E$6,MATCH(RAB!C48,'HARGA SATUAN'!$C$7:$C$1492,0),0)))</f>
        <v>Mtr</v>
      </c>
      <c r="F48" s="479">
        <f>F40*4.8</f>
        <v>9.6</v>
      </c>
      <c r="G48" s="355">
        <f ca="1">IF(ISERROR(OFFSET('HARGA SATUAN'!$I$6,MATCH(RAB!C48,'HARGA SATUAN'!$C$7:$C$1492,0),0)),0,OFFSET('HARGA SATUAN'!$I$6,MATCH(RAB!C48,'HARGA SATUAN'!$C$7:$C$1492,0),0))</f>
        <v>23310</v>
      </c>
      <c r="H48" s="356">
        <f t="shared" ca="1" si="4"/>
        <v>0</v>
      </c>
      <c r="I48" s="356">
        <f t="shared" ca="1" si="5"/>
        <v>223776</v>
      </c>
      <c r="J48" s="356">
        <f t="shared" ca="1" si="6"/>
        <v>0</v>
      </c>
      <c r="K48" s="357">
        <f t="shared" ca="1" si="7"/>
        <v>223776</v>
      </c>
      <c r="L48" s="362"/>
      <c r="M48" s="362"/>
      <c r="N48" s="362"/>
      <c r="O48" s="358"/>
      <c r="P48" s="358"/>
      <c r="Q48" s="341"/>
      <c r="R48" s="333"/>
      <c r="S48" s="359"/>
      <c r="T48" s="338"/>
      <c r="U48" s="338"/>
      <c r="V48" s="338"/>
    </row>
    <row r="49" spans="1:22" s="363" customFormat="1">
      <c r="A49" s="333"/>
      <c r="B49" s="492">
        <v>9</v>
      </c>
      <c r="C49" s="493" t="s">
        <v>735</v>
      </c>
      <c r="D49" s="353" t="str">
        <f ca="1">IF(ISERROR(OFFSET('HARGA SATUAN'!$D$6,MATCH(RAB!C49,'HARGA SATUAN'!$C$7:$C$1492,0),0)),"",OFFSET('HARGA SATUAN'!$D$6,MATCH(RAB!C49,'HARGA SATUAN'!$C$7:$C$1492,0),0))</f>
        <v>JASA</v>
      </c>
      <c r="E49" s="354" t="str">
        <f ca="1">IF(B49="+","Unit",IF(ISERROR(OFFSET('HARGA SATUAN'!$E$6,MATCH(RAB!C49,'HARGA SATUAN'!$C$7:$C$1492,0),0)),"",OFFSET('HARGA SATUAN'!$E$6,MATCH(RAB!C49,'HARGA SATUAN'!$C$7:$C$1492,0),0)))</f>
        <v>Unit</v>
      </c>
      <c r="F49" s="479">
        <f>F40*1</f>
        <v>2</v>
      </c>
      <c r="G49" s="355">
        <f ca="1">IF(ISERROR(OFFSET('HARGA SATUAN'!$I$6,MATCH(RAB!C49,'HARGA SATUAN'!$C$7:$C$1492,0),0)),0,OFFSET('HARGA SATUAN'!$I$6,MATCH(RAB!C49,'HARGA SATUAN'!$C$7:$C$1492,0),0))</f>
        <v>65400</v>
      </c>
      <c r="H49" s="356">
        <f t="shared" ca="1" si="4"/>
        <v>0</v>
      </c>
      <c r="I49" s="356">
        <f t="shared" ca="1" si="5"/>
        <v>0</v>
      </c>
      <c r="J49" s="356">
        <f t="shared" ca="1" si="6"/>
        <v>130800</v>
      </c>
      <c r="K49" s="357">
        <f t="shared" ca="1" si="7"/>
        <v>130800</v>
      </c>
      <c r="L49" s="362"/>
      <c r="M49" s="362"/>
      <c r="N49" s="362"/>
      <c r="O49" s="358"/>
      <c r="P49" s="358"/>
      <c r="Q49" s="341"/>
      <c r="R49" s="333"/>
      <c r="S49" s="359"/>
      <c r="T49" s="338"/>
      <c r="U49" s="338"/>
      <c r="V49" s="338"/>
    </row>
    <row r="50" spans="1:22" s="363" customFormat="1">
      <c r="A50" s="333"/>
      <c r="B50" s="485"/>
      <c r="C50" s="486"/>
      <c r="D50" s="353" t="str">
        <f ca="1">IF(ISERROR(OFFSET('HARGA SATUAN'!$D$6,MATCH(RAB!C50,'HARGA SATUAN'!$C$7:$C$1492,0),0)),"",OFFSET('HARGA SATUAN'!$D$6,MATCH(RAB!C50,'HARGA SATUAN'!$C$7:$C$1492,0),0))</f>
        <v/>
      </c>
      <c r="E50" s="354" t="str">
        <f ca="1">IF(B50="+","Unit",IF(ISERROR(OFFSET('HARGA SATUAN'!$E$6,MATCH(RAB!C50,'HARGA SATUAN'!$C$7:$C$1492,0),0)),"",OFFSET('HARGA SATUAN'!$E$6,MATCH(RAB!C50,'HARGA SATUAN'!$C$7:$C$1492,0),0)))</f>
        <v/>
      </c>
      <c r="F50" s="361"/>
      <c r="G50" s="355">
        <f ca="1">IF(ISERROR(OFFSET('HARGA SATUAN'!$I$6,MATCH(RAB!C50,'HARGA SATUAN'!$C$7:$C$1492,0),0)),0,OFFSET('HARGA SATUAN'!$I$6,MATCH(RAB!C50,'HARGA SATUAN'!$C$7:$C$1492,0),0))</f>
        <v>0</v>
      </c>
      <c r="H50" s="356">
        <f t="shared" ca="1" si="4"/>
        <v>0</v>
      </c>
      <c r="I50" s="356">
        <f t="shared" ca="1" si="5"/>
        <v>0</v>
      </c>
      <c r="J50" s="356">
        <f t="shared" ca="1" si="6"/>
        <v>0</v>
      </c>
      <c r="K50" s="357">
        <f t="shared" ca="1" si="7"/>
        <v>0</v>
      </c>
      <c r="L50" s="362"/>
      <c r="M50" s="362"/>
      <c r="N50" s="362"/>
      <c r="O50" s="358"/>
      <c r="P50" s="358"/>
      <c r="Q50" s="341"/>
      <c r="R50" s="333"/>
      <c r="S50" s="359"/>
      <c r="T50" s="338"/>
      <c r="U50" s="338"/>
      <c r="V50" s="338"/>
    </row>
    <row r="51" spans="1:22" s="363" customFormat="1">
      <c r="A51" s="333"/>
      <c r="B51" s="485" t="s">
        <v>1607</v>
      </c>
      <c r="C51" s="486" t="s">
        <v>1605</v>
      </c>
      <c r="D51" s="353" t="str">
        <f ca="1">IF(ISERROR(OFFSET('HARGA SATUAN'!$D$6,MATCH(RAB!C51,'HARGA SATUAN'!$C$7:$C$1492,0),0)),"",OFFSET('HARGA SATUAN'!$D$6,MATCH(RAB!C51,'HARGA SATUAN'!$C$7:$C$1492,0),0))</f>
        <v/>
      </c>
      <c r="E51" s="354" t="str">
        <f ca="1">IF(B51="+","Unit",IF(ISERROR(OFFSET('HARGA SATUAN'!$E$6,MATCH(RAB!C51,'HARGA SATUAN'!$C$7:$C$1492,0),0)),"",OFFSET('HARGA SATUAN'!$E$6,MATCH(RAB!C51,'HARGA SATUAN'!$C$7:$C$1492,0),0)))</f>
        <v/>
      </c>
      <c r="F51" s="361"/>
      <c r="G51" s="355">
        <f ca="1">IF(ISERROR(OFFSET('HARGA SATUAN'!$I$6,MATCH(RAB!C51,'HARGA SATUAN'!$C$7:$C$1492,0),0)),0,OFFSET('HARGA SATUAN'!$I$6,MATCH(RAB!C51,'HARGA SATUAN'!$C$7:$C$1492,0),0))</f>
        <v>0</v>
      </c>
      <c r="H51" s="356">
        <f t="shared" ca="1" si="4"/>
        <v>0</v>
      </c>
      <c r="I51" s="356">
        <f t="shared" ca="1" si="5"/>
        <v>0</v>
      </c>
      <c r="J51" s="356">
        <f t="shared" ca="1" si="6"/>
        <v>0</v>
      </c>
      <c r="K51" s="357">
        <f t="shared" ca="1" si="7"/>
        <v>0</v>
      </c>
      <c r="L51" s="362"/>
      <c r="M51" s="362"/>
      <c r="N51" s="362"/>
      <c r="O51" s="358"/>
      <c r="P51" s="358"/>
      <c r="Q51" s="341"/>
      <c r="R51" s="333"/>
      <c r="S51" s="359"/>
      <c r="T51" s="338"/>
      <c r="U51" s="338"/>
      <c r="V51" s="338"/>
    </row>
    <row r="52" spans="1:22" s="363" customFormat="1">
      <c r="A52" s="333"/>
      <c r="B52" s="487"/>
      <c r="C52" s="488"/>
      <c r="D52" s="353" t="str">
        <f ca="1">IF(ISERROR(OFFSET('HARGA SATUAN'!$D$6,MATCH(RAB!C52,'HARGA SATUAN'!$C$7:$C$1492,0),0)),"",OFFSET('HARGA SATUAN'!$D$6,MATCH(RAB!C52,'HARGA SATUAN'!$C$7:$C$1492,0),0))</f>
        <v/>
      </c>
      <c r="E52" s="354" t="str">
        <f ca="1">IF(B52="+","Unit",IF(ISERROR(OFFSET('HARGA SATUAN'!$E$6,MATCH(RAB!C52,'HARGA SATUAN'!$C$7:$C$1492,0),0)),"",OFFSET('HARGA SATUAN'!$E$6,MATCH(RAB!C52,'HARGA SATUAN'!$C$7:$C$1492,0),0)))</f>
        <v/>
      </c>
      <c r="F52" s="361"/>
      <c r="G52" s="355">
        <f ca="1">IF(ISERROR(OFFSET('HARGA SATUAN'!$I$6,MATCH(RAB!C52,'HARGA SATUAN'!$C$7:$C$1492,0),0)),0,OFFSET('HARGA SATUAN'!$I$6,MATCH(RAB!C52,'HARGA SATUAN'!$C$7:$C$1492,0),0))</f>
        <v>0</v>
      </c>
      <c r="H52" s="356">
        <f t="shared" ref="H52:H61" ca="1" si="12">IF(OR(D52="MDU",D52="MDU-KD"),(IF($O$3="RAB NON MDU","PLN KD",G52*F52)),0)</f>
        <v>0</v>
      </c>
      <c r="I52" s="356">
        <f t="shared" ref="I52:I61" ca="1" si="13">IF(D52="HDW",G52*F52,0)</f>
        <v>0</v>
      </c>
      <c r="J52" s="356">
        <f t="shared" ref="J52:J61" ca="1" si="14">IF(D52="JASA",G52*F52,0)</f>
        <v>0</v>
      </c>
      <c r="K52" s="357">
        <f t="shared" ref="K52:K61" ca="1" si="15">SUM(H52:J52)</f>
        <v>0</v>
      </c>
      <c r="L52" s="362"/>
      <c r="M52" s="362"/>
      <c r="N52" s="362"/>
      <c r="O52" s="358"/>
      <c r="P52" s="358"/>
      <c r="Q52" s="341"/>
      <c r="R52" s="333"/>
      <c r="S52" s="359"/>
      <c r="T52" s="338"/>
      <c r="U52" s="338"/>
      <c r="V52" s="338"/>
    </row>
    <row r="53" spans="1:22" s="363" customFormat="1">
      <c r="A53" s="333"/>
      <c r="B53" s="487" t="s">
        <v>1034</v>
      </c>
      <c r="C53" s="488" t="s">
        <v>1620</v>
      </c>
      <c r="D53" s="353" t="str">
        <f ca="1">IF(ISERROR(OFFSET('HARGA SATUAN'!$D$6,MATCH(RAB!C53,'HARGA SATUAN'!$C$7:$C$1492,0),0)),"",OFFSET('HARGA SATUAN'!$D$6,MATCH(RAB!C53,'HARGA SATUAN'!$C$7:$C$1492,0),0))</f>
        <v/>
      </c>
      <c r="E53" s="354" t="str">
        <f ca="1">IF(B53="+","Unit",IF(ISERROR(OFFSET('HARGA SATUAN'!$E$6,MATCH(RAB!C53,'HARGA SATUAN'!$C$7:$C$1492,0),0)),"",OFFSET('HARGA SATUAN'!$E$6,MATCH(RAB!C53,'HARGA SATUAN'!$C$7:$C$1492,0),0)))</f>
        <v>Unit</v>
      </c>
      <c r="F53" s="361">
        <v>2</v>
      </c>
      <c r="G53" s="355">
        <f ca="1">IF(ISERROR(OFFSET('HARGA SATUAN'!$I$6,MATCH(RAB!C53,'HARGA SATUAN'!$C$7:$C$1492,0),0)),0,OFFSET('HARGA SATUAN'!$I$6,MATCH(RAB!C53,'HARGA SATUAN'!$C$7:$C$1492,0),0))</f>
        <v>0</v>
      </c>
      <c r="H53" s="356">
        <f t="shared" ca="1" si="12"/>
        <v>0</v>
      </c>
      <c r="I53" s="356">
        <f t="shared" ca="1" si="13"/>
        <v>0</v>
      </c>
      <c r="J53" s="356">
        <f t="shared" ca="1" si="14"/>
        <v>0</v>
      </c>
      <c r="K53" s="357">
        <f t="shared" ca="1" si="15"/>
        <v>0</v>
      </c>
      <c r="L53" s="362"/>
      <c r="M53" s="362"/>
      <c r="N53" s="362"/>
      <c r="O53" s="358"/>
      <c r="P53" s="358"/>
      <c r="Q53" s="341"/>
      <c r="R53" s="333"/>
      <c r="S53" s="359"/>
      <c r="T53" s="338"/>
      <c r="U53" s="338"/>
      <c r="V53" s="338"/>
    </row>
    <row r="54" spans="1:22" s="363" customFormat="1">
      <c r="A54" s="333"/>
      <c r="B54" s="487">
        <v>1</v>
      </c>
      <c r="C54" s="488" t="s">
        <v>594</v>
      </c>
      <c r="D54" s="353" t="str">
        <f ca="1">IF(ISERROR(OFFSET('HARGA SATUAN'!$D$6,MATCH(RAB!C54,'HARGA SATUAN'!$C$7:$C$1492,0),0)),"",OFFSET('HARGA SATUAN'!$D$6,MATCH(RAB!C54,'HARGA SATUAN'!$C$7:$C$1492,0),0))</f>
        <v>HDW</v>
      </c>
      <c r="E54" s="354" t="str">
        <f ca="1">IF(B54="+","Unit",IF(ISERROR(OFFSET('HARGA SATUAN'!$E$6,MATCH(RAB!C54,'HARGA SATUAN'!$C$7:$C$1492,0),0)),"",OFFSET('HARGA SATUAN'!$E$6,MATCH(RAB!C54,'HARGA SATUAN'!$C$7:$C$1492,0),0)))</f>
        <v>Bh</v>
      </c>
      <c r="F54" s="361">
        <v>2</v>
      </c>
      <c r="G54" s="355">
        <f ca="1">IF(ISERROR(OFFSET('HARGA SATUAN'!$I$6,MATCH(RAB!C54,'HARGA SATUAN'!$C$7:$C$1492,0),0)),0,OFFSET('HARGA SATUAN'!$I$6,MATCH(RAB!C54,'HARGA SATUAN'!$C$7:$C$1492,0),0))</f>
        <v>78500</v>
      </c>
      <c r="H54" s="356">
        <f t="shared" ca="1" si="12"/>
        <v>0</v>
      </c>
      <c r="I54" s="356">
        <f t="shared" ca="1" si="13"/>
        <v>157000</v>
      </c>
      <c r="J54" s="356">
        <f t="shared" ca="1" si="14"/>
        <v>0</v>
      </c>
      <c r="K54" s="357">
        <f t="shared" ca="1" si="15"/>
        <v>157000</v>
      </c>
      <c r="L54" s="362"/>
      <c r="M54" s="362"/>
      <c r="N54" s="362"/>
      <c r="O54" s="358"/>
      <c r="P54" s="358"/>
      <c r="Q54" s="341"/>
      <c r="R54" s="333"/>
      <c r="S54" s="359"/>
      <c r="T54" s="338"/>
      <c r="U54" s="338"/>
      <c r="V54" s="338"/>
    </row>
    <row r="55" spans="1:22" s="363" customFormat="1">
      <c r="A55" s="333"/>
      <c r="B55" s="487">
        <v>2</v>
      </c>
      <c r="C55" s="488" t="s">
        <v>229</v>
      </c>
      <c r="D55" s="353" t="str">
        <f ca="1">IF(ISERROR(OFFSET('HARGA SATUAN'!$D$6,MATCH(RAB!C55,'HARGA SATUAN'!$C$7:$C$1492,0),0)),"",OFFSET('HARGA SATUAN'!$D$6,MATCH(RAB!C55,'HARGA SATUAN'!$C$7:$C$1492,0),0))</f>
        <v>HDW</v>
      </c>
      <c r="E55" s="354" t="str">
        <f ca="1">IF(B55="+","Unit",IF(ISERROR(OFFSET('HARGA SATUAN'!$E$6,MATCH(RAB!C55,'HARGA SATUAN'!$C$7:$C$1492,0),0)),"",OFFSET('HARGA SATUAN'!$E$6,MATCH(RAB!C55,'HARGA SATUAN'!$C$7:$C$1492,0),0)))</f>
        <v>Bh</v>
      </c>
      <c r="F55" s="361">
        <v>2</v>
      </c>
      <c r="G55" s="355">
        <f ca="1">IF(ISERROR(OFFSET('HARGA SATUAN'!$I$6,MATCH(RAB!C55,'HARGA SATUAN'!$C$7:$C$1492,0),0)),0,OFFSET('HARGA SATUAN'!$I$6,MATCH(RAB!C55,'HARGA SATUAN'!$C$7:$C$1492,0),0))</f>
        <v>4212</v>
      </c>
      <c r="H55" s="356">
        <f t="shared" ca="1" si="12"/>
        <v>0</v>
      </c>
      <c r="I55" s="356">
        <f t="shared" ca="1" si="13"/>
        <v>8424</v>
      </c>
      <c r="J55" s="356">
        <f t="shared" ca="1" si="14"/>
        <v>0</v>
      </c>
      <c r="K55" s="357">
        <f t="shared" ca="1" si="15"/>
        <v>8424</v>
      </c>
      <c r="L55" s="362"/>
      <c r="M55" s="362"/>
      <c r="N55" s="362"/>
      <c r="O55" s="358"/>
      <c r="P55" s="358"/>
      <c r="Q55" s="341"/>
      <c r="R55" s="333"/>
      <c r="S55" s="359"/>
      <c r="T55" s="338"/>
      <c r="U55" s="338"/>
      <c r="V55" s="338"/>
    </row>
    <row r="56" spans="1:22" s="363" customFormat="1">
      <c r="A56" s="333"/>
      <c r="B56" s="487">
        <v>3</v>
      </c>
      <c r="C56" s="488" t="s">
        <v>266</v>
      </c>
      <c r="D56" s="353" t="str">
        <f ca="1">IF(ISERROR(OFFSET('HARGA SATUAN'!$D$6,MATCH(RAB!C56,'HARGA SATUAN'!$C$7:$C$1492,0),0)),"",OFFSET('HARGA SATUAN'!$D$6,MATCH(RAB!C56,'HARGA SATUAN'!$C$7:$C$1492,0),0))</f>
        <v>HDW</v>
      </c>
      <c r="E56" s="354" t="str">
        <f ca="1">IF(B56="+","Unit",IF(ISERROR(OFFSET('HARGA SATUAN'!$E$6,MATCH(RAB!C56,'HARGA SATUAN'!$C$7:$C$1492,0),0)),"",OFFSET('HARGA SATUAN'!$E$6,MATCH(RAB!C56,'HARGA SATUAN'!$C$7:$C$1492,0),0)))</f>
        <v>Mtr</v>
      </c>
      <c r="F56" s="361">
        <v>2</v>
      </c>
      <c r="G56" s="355">
        <f ca="1">IF(ISERROR(OFFSET('HARGA SATUAN'!$I$6,MATCH(RAB!C56,'HARGA SATUAN'!$C$7:$C$1492,0),0)),0,OFFSET('HARGA SATUAN'!$I$6,MATCH(RAB!C56,'HARGA SATUAN'!$C$7:$C$1492,0),0))</f>
        <v>23310</v>
      </c>
      <c r="H56" s="356">
        <f t="shared" ca="1" si="12"/>
        <v>0</v>
      </c>
      <c r="I56" s="356">
        <f t="shared" ca="1" si="13"/>
        <v>46620</v>
      </c>
      <c r="J56" s="356">
        <f t="shared" ca="1" si="14"/>
        <v>0</v>
      </c>
      <c r="K56" s="357">
        <f t="shared" ca="1" si="15"/>
        <v>46620</v>
      </c>
      <c r="L56" s="362"/>
      <c r="M56" s="362"/>
      <c r="N56" s="362"/>
      <c r="O56" s="358"/>
      <c r="P56" s="358"/>
      <c r="Q56" s="341"/>
      <c r="R56" s="333"/>
      <c r="S56" s="359"/>
      <c r="T56" s="338"/>
      <c r="U56" s="338"/>
      <c r="V56" s="338"/>
    </row>
    <row r="57" spans="1:22" s="363" customFormat="1">
      <c r="A57" s="333"/>
      <c r="B57" s="487">
        <v>4</v>
      </c>
      <c r="C57" s="488" t="s">
        <v>35</v>
      </c>
      <c r="D57" s="353" t="str">
        <f ca="1">IF(ISERROR(OFFSET('HARGA SATUAN'!$D$6,MATCH(RAB!C57,'HARGA SATUAN'!$C$7:$C$1492,0),0)),"",OFFSET('HARGA SATUAN'!$D$6,MATCH(RAB!C57,'HARGA SATUAN'!$C$7:$C$1492,0),0))</f>
        <v>HDW</v>
      </c>
      <c r="E57" s="354" t="str">
        <f ca="1">IF(B57="+","Unit",IF(ISERROR(OFFSET('HARGA SATUAN'!$E$6,MATCH(RAB!C57,'HARGA SATUAN'!$C$7:$C$1492,0),0)),"",OFFSET('HARGA SATUAN'!$E$6,MATCH(RAB!C57,'HARGA SATUAN'!$C$7:$C$1492,0),0)))</f>
        <v>Bh</v>
      </c>
      <c r="F57" s="361">
        <v>2</v>
      </c>
      <c r="G57" s="355">
        <f ca="1">IF(ISERROR(OFFSET('HARGA SATUAN'!$I$6,MATCH(RAB!C57,'HARGA SATUAN'!$C$7:$C$1492,0),0)),0,OFFSET('HARGA SATUAN'!$I$6,MATCH(RAB!C57,'HARGA SATUAN'!$C$7:$C$1492,0),0))</f>
        <v>2300</v>
      </c>
      <c r="H57" s="356">
        <f t="shared" ca="1" si="12"/>
        <v>0</v>
      </c>
      <c r="I57" s="356">
        <f t="shared" ca="1" si="13"/>
        <v>4600</v>
      </c>
      <c r="J57" s="356">
        <f t="shared" ca="1" si="14"/>
        <v>0</v>
      </c>
      <c r="K57" s="357">
        <f t="shared" ca="1" si="15"/>
        <v>4600</v>
      </c>
      <c r="L57" s="362"/>
      <c r="M57" s="362"/>
      <c r="N57" s="362"/>
      <c r="O57" s="358"/>
      <c r="P57" s="358"/>
      <c r="Q57" s="341"/>
      <c r="R57" s="333"/>
      <c r="S57" s="359"/>
      <c r="T57" s="338"/>
      <c r="U57" s="338"/>
      <c r="V57" s="338"/>
    </row>
    <row r="58" spans="1:22" s="363" customFormat="1">
      <c r="A58" s="333"/>
      <c r="B58" s="487">
        <v>5</v>
      </c>
      <c r="C58" s="488" t="s">
        <v>629</v>
      </c>
      <c r="D58" s="353" t="str">
        <f ca="1">IF(ISERROR(OFFSET('HARGA SATUAN'!$D$6,MATCH(RAB!C58,'HARGA SATUAN'!$C$7:$C$1492,0),0)),"",OFFSET('HARGA SATUAN'!$D$6,MATCH(RAB!C58,'HARGA SATUAN'!$C$7:$C$1492,0),0))</f>
        <v>JASA</v>
      </c>
      <c r="E58" s="354" t="str">
        <f ca="1">IF(B58="+","Unit",IF(ISERROR(OFFSET('HARGA SATUAN'!$E$6,MATCH(RAB!C58,'HARGA SATUAN'!$C$7:$C$1492,0),0)),"",OFFSET('HARGA SATUAN'!$E$6,MATCH(RAB!C58,'HARGA SATUAN'!$C$7:$C$1492,0),0)))</f>
        <v>Unit</v>
      </c>
      <c r="F58" s="361">
        <v>2</v>
      </c>
      <c r="G58" s="355">
        <f ca="1">IF(ISERROR(OFFSET('HARGA SATUAN'!$I$6,MATCH(RAB!C58,'HARGA SATUAN'!$C$7:$C$1492,0),0)),0,OFFSET('HARGA SATUAN'!$I$6,MATCH(RAB!C58,'HARGA SATUAN'!$C$7:$C$1492,0),0))</f>
        <v>35700</v>
      </c>
      <c r="H58" s="356">
        <f t="shared" ca="1" si="12"/>
        <v>0</v>
      </c>
      <c r="I58" s="356">
        <f t="shared" ca="1" si="13"/>
        <v>0</v>
      </c>
      <c r="J58" s="356">
        <f t="shared" ca="1" si="14"/>
        <v>71400</v>
      </c>
      <c r="K58" s="357">
        <f t="shared" ca="1" si="15"/>
        <v>71400</v>
      </c>
      <c r="L58" s="362"/>
      <c r="M58" s="362"/>
      <c r="N58" s="362"/>
      <c r="O58" s="358"/>
      <c r="P58" s="358"/>
      <c r="Q58" s="341"/>
      <c r="R58" s="333"/>
      <c r="S58" s="359"/>
      <c r="T58" s="338"/>
      <c r="U58" s="338"/>
      <c r="V58" s="338"/>
    </row>
    <row r="59" spans="1:22" s="363" customFormat="1">
      <c r="A59" s="333"/>
      <c r="B59" s="487"/>
      <c r="C59" s="488"/>
      <c r="D59" s="353" t="str">
        <f ca="1">IF(ISERROR(OFFSET('HARGA SATUAN'!$D$6,MATCH(RAB!C59,'HARGA SATUAN'!$C$7:$C$1492,0),0)),"",OFFSET('HARGA SATUAN'!$D$6,MATCH(RAB!C59,'HARGA SATUAN'!$C$7:$C$1492,0),0))</f>
        <v/>
      </c>
      <c r="E59" s="354" t="str">
        <f ca="1">IF(B59="+","Unit",IF(ISERROR(OFFSET('HARGA SATUAN'!$E$6,MATCH(RAB!C59,'HARGA SATUAN'!$C$7:$C$1492,0),0)),"",OFFSET('HARGA SATUAN'!$E$6,MATCH(RAB!C59,'HARGA SATUAN'!$C$7:$C$1492,0),0)))</f>
        <v/>
      </c>
      <c r="F59" s="361"/>
      <c r="G59" s="355">
        <f ca="1">IF(ISERROR(OFFSET('HARGA SATUAN'!$I$6,MATCH(RAB!C59,'HARGA SATUAN'!$C$7:$C$1492,0),0)),0,OFFSET('HARGA SATUAN'!$I$6,MATCH(RAB!C59,'HARGA SATUAN'!$C$7:$C$1492,0),0))</f>
        <v>0</v>
      </c>
      <c r="H59" s="356">
        <f t="shared" ca="1" si="12"/>
        <v>0</v>
      </c>
      <c r="I59" s="356">
        <f t="shared" ca="1" si="13"/>
        <v>0</v>
      </c>
      <c r="J59" s="356">
        <f t="shared" ca="1" si="14"/>
        <v>0</v>
      </c>
      <c r="K59" s="357">
        <f t="shared" ca="1" si="15"/>
        <v>0</v>
      </c>
      <c r="L59" s="362"/>
      <c r="M59" s="362"/>
      <c r="N59" s="362"/>
      <c r="O59" s="358"/>
      <c r="P59" s="358"/>
      <c r="Q59" s="341"/>
      <c r="R59" s="333"/>
      <c r="S59" s="359"/>
      <c r="T59" s="338"/>
      <c r="U59" s="338"/>
      <c r="V59" s="338"/>
    </row>
    <row r="60" spans="1:22" s="363" customFormat="1">
      <c r="A60" s="333"/>
      <c r="B60" s="487">
        <v>1</v>
      </c>
      <c r="C60" s="488" t="s">
        <v>101</v>
      </c>
      <c r="D60" s="353" t="str">
        <f ca="1">IF(ISERROR(OFFSET('HARGA SATUAN'!$D$6,MATCH(RAB!C60,'HARGA SATUAN'!$C$7:$C$1492,0),0)),"",OFFSET('HARGA SATUAN'!$D$6,MATCH(RAB!C60,'HARGA SATUAN'!$C$7:$C$1492,0),0))</f>
        <v>HDW</v>
      </c>
      <c r="E60" s="354" t="str">
        <f ca="1">IF(B60="+","Unit",IF(ISERROR(OFFSET('HARGA SATUAN'!$E$6,MATCH(RAB!C60,'HARGA SATUAN'!$C$7:$C$1492,0),0)),"",OFFSET('HARGA SATUAN'!$E$6,MATCH(RAB!C60,'HARGA SATUAN'!$C$7:$C$1492,0),0)))</f>
        <v>Btg</v>
      </c>
      <c r="F60" s="361">
        <v>1</v>
      </c>
      <c r="G60" s="355">
        <f ca="1">IF(ISERROR(OFFSET('HARGA SATUAN'!$I$6,MATCH(RAB!C60,'HARGA SATUAN'!$C$7:$C$1492,0),0)),0,OFFSET('HARGA SATUAN'!$I$6,MATCH(RAB!C60,'HARGA SATUAN'!$C$7:$C$1492,0),0))</f>
        <v>3382600</v>
      </c>
      <c r="H60" s="356">
        <f t="shared" ca="1" si="12"/>
        <v>0</v>
      </c>
      <c r="I60" s="356">
        <f t="shared" ca="1" si="13"/>
        <v>3382600</v>
      </c>
      <c r="J60" s="356">
        <f t="shared" ca="1" si="14"/>
        <v>0</v>
      </c>
      <c r="K60" s="357">
        <f t="shared" ca="1" si="15"/>
        <v>3382600</v>
      </c>
      <c r="L60" s="362"/>
      <c r="M60" s="362"/>
      <c r="N60" s="362"/>
      <c r="O60" s="358"/>
      <c r="P60" s="358"/>
      <c r="Q60" s="341"/>
      <c r="R60" s="333"/>
      <c r="S60" s="359"/>
      <c r="T60" s="338"/>
      <c r="U60" s="338"/>
      <c r="V60" s="338"/>
    </row>
    <row r="61" spans="1:22" s="363" customFormat="1">
      <c r="A61" s="333"/>
      <c r="B61" s="487"/>
      <c r="C61" s="488"/>
      <c r="D61" s="353" t="str">
        <f ca="1">IF(ISERROR(OFFSET('HARGA SATUAN'!$D$6,MATCH(RAB!C61,'HARGA SATUAN'!$C$7:$C$1492,0),0)),"",OFFSET('HARGA SATUAN'!$D$6,MATCH(RAB!C61,'HARGA SATUAN'!$C$7:$C$1492,0),0))</f>
        <v/>
      </c>
      <c r="E61" s="354" t="str">
        <f ca="1">IF(B61="+","Unit",IF(ISERROR(OFFSET('HARGA SATUAN'!$E$6,MATCH(RAB!C61,'HARGA SATUAN'!$C$7:$C$1492,0),0)),"",OFFSET('HARGA SATUAN'!$E$6,MATCH(RAB!C61,'HARGA SATUAN'!$C$7:$C$1492,0),0)))</f>
        <v/>
      </c>
      <c r="F61" s="361"/>
      <c r="G61" s="355">
        <f ca="1">IF(ISERROR(OFFSET('HARGA SATUAN'!$I$6,MATCH(RAB!C61,'HARGA SATUAN'!$C$7:$C$1492,0),0)),0,OFFSET('HARGA SATUAN'!$I$6,MATCH(RAB!C61,'HARGA SATUAN'!$C$7:$C$1492,0),0))</f>
        <v>0</v>
      </c>
      <c r="H61" s="356">
        <f t="shared" ca="1" si="12"/>
        <v>0</v>
      </c>
      <c r="I61" s="356">
        <f t="shared" ca="1" si="13"/>
        <v>0</v>
      </c>
      <c r="J61" s="356">
        <f t="shared" ca="1" si="14"/>
        <v>0</v>
      </c>
      <c r="K61" s="357">
        <f t="shared" ca="1" si="15"/>
        <v>0</v>
      </c>
      <c r="L61" s="362"/>
      <c r="M61" s="362"/>
      <c r="N61" s="362"/>
      <c r="O61" s="358"/>
      <c r="P61" s="358"/>
      <c r="Q61" s="341"/>
      <c r="R61" s="333"/>
      <c r="S61" s="359"/>
      <c r="T61" s="338"/>
      <c r="U61" s="338"/>
      <c r="V61" s="338"/>
    </row>
    <row r="62" spans="1:22" s="363" customFormat="1">
      <c r="A62" s="333"/>
      <c r="B62" s="487" t="s">
        <v>1034</v>
      </c>
      <c r="C62" s="488" t="s">
        <v>1623</v>
      </c>
      <c r="D62" s="353" t="str">
        <f ca="1">IF(ISERROR(OFFSET('HARGA SATUAN'!$D$6,MATCH(RAB!C62,'HARGA SATUAN'!$C$7:$C$1492,0),0)),"",OFFSET('HARGA SATUAN'!$D$6,MATCH(RAB!C62,'HARGA SATUAN'!$C$7:$C$1492,0),0))</f>
        <v/>
      </c>
      <c r="E62" s="354" t="str">
        <f ca="1">IF(B62="+","Unit",IF(ISERROR(OFFSET('HARGA SATUAN'!$E$6,MATCH(RAB!C62,'HARGA SATUAN'!$C$7:$C$1492,0),0)),"",OFFSET('HARGA SATUAN'!$E$6,MATCH(RAB!C62,'HARGA SATUAN'!$C$7:$C$1492,0),0)))</f>
        <v>Unit</v>
      </c>
      <c r="F62" s="361">
        <v>1</v>
      </c>
      <c r="G62" s="355">
        <f ca="1">IF(ISERROR(OFFSET('HARGA SATUAN'!$I$6,MATCH(RAB!C62,'HARGA SATUAN'!$C$7:$C$1492,0),0)),0,OFFSET('HARGA SATUAN'!$I$6,MATCH(RAB!C62,'HARGA SATUAN'!$C$7:$C$1492,0),0))</f>
        <v>0</v>
      </c>
      <c r="H62" s="356">
        <f t="shared" ref="H62:H76" ca="1" si="16">IF(OR(D62="MDU",D62="MDU-KD"),(IF($O$3="RAB NON MDU","PLN KD",G62*F62)),0)</f>
        <v>0</v>
      </c>
      <c r="I62" s="356">
        <f t="shared" ref="I62:I76" ca="1" si="17">IF(D62="HDW",G62*F62,0)</f>
        <v>0</v>
      </c>
      <c r="J62" s="356">
        <f t="shared" ref="J62:J76" ca="1" si="18">IF(D62="JASA",G62*F62,0)</f>
        <v>0</v>
      </c>
      <c r="K62" s="357">
        <f t="shared" ref="K62:K76" ca="1" si="19">SUM(H62:J62)</f>
        <v>0</v>
      </c>
      <c r="L62" s="362"/>
      <c r="M62" s="362"/>
      <c r="N62" s="362"/>
      <c r="O62" s="358"/>
      <c r="P62" s="358"/>
      <c r="Q62" s="341"/>
      <c r="R62" s="333"/>
      <c r="S62" s="359"/>
      <c r="T62" s="338"/>
      <c r="U62" s="338"/>
      <c r="V62" s="338"/>
    </row>
    <row r="63" spans="1:22" s="363" customFormat="1">
      <c r="A63" s="333"/>
      <c r="B63" s="487">
        <v>1</v>
      </c>
      <c r="C63" s="488" t="s">
        <v>28</v>
      </c>
      <c r="D63" s="353" t="str">
        <f ca="1">IF(ISERROR(OFFSET('HARGA SATUAN'!$D$6,MATCH(RAB!C63,'HARGA SATUAN'!$C$7:$C$1492,0),0)),"",OFFSET('HARGA SATUAN'!$D$6,MATCH(RAB!C63,'HARGA SATUAN'!$C$7:$C$1492,0),0))</f>
        <v>HDW</v>
      </c>
      <c r="E63" s="354" t="str">
        <f ca="1">IF(B63="+","Unit",IF(ISERROR(OFFSET('HARGA SATUAN'!$E$6,MATCH(RAB!C63,'HARGA SATUAN'!$C$7:$C$1492,0),0)),"",OFFSET('HARGA SATUAN'!$E$6,MATCH(RAB!C63,'HARGA SATUAN'!$C$7:$C$1492,0),0)))</f>
        <v>Bh</v>
      </c>
      <c r="F63" s="361">
        <v>1</v>
      </c>
      <c r="G63" s="355">
        <f ca="1">IF(ISERROR(OFFSET('HARGA SATUAN'!$I$6,MATCH(RAB!C63,'HARGA SATUAN'!$C$7:$C$1492,0),0)),0,OFFSET('HARGA SATUAN'!$I$6,MATCH(RAB!C63,'HARGA SATUAN'!$C$7:$C$1492,0),0))</f>
        <v>26500</v>
      </c>
      <c r="H63" s="356">
        <f t="shared" ca="1" si="16"/>
        <v>0</v>
      </c>
      <c r="I63" s="356">
        <f t="shared" ca="1" si="17"/>
        <v>26500</v>
      </c>
      <c r="J63" s="356">
        <f t="shared" ca="1" si="18"/>
        <v>0</v>
      </c>
      <c r="K63" s="357">
        <f t="shared" ca="1" si="19"/>
        <v>26500</v>
      </c>
      <c r="L63" s="362"/>
      <c r="M63" s="362"/>
      <c r="N63" s="362"/>
      <c r="O63" s="358"/>
      <c r="P63" s="358"/>
      <c r="Q63" s="341"/>
      <c r="R63" s="333"/>
      <c r="S63" s="359"/>
      <c r="T63" s="338"/>
      <c r="U63" s="338"/>
      <c r="V63" s="338"/>
    </row>
    <row r="64" spans="1:22" s="363" customFormat="1">
      <c r="A64" s="333"/>
      <c r="B64" s="487">
        <v>2</v>
      </c>
      <c r="C64" s="488" t="s">
        <v>203</v>
      </c>
      <c r="D64" s="353" t="str">
        <f ca="1">IF(ISERROR(OFFSET('HARGA SATUAN'!$D$6,MATCH(RAB!C64,'HARGA SATUAN'!$C$7:$C$1492,0),0)),"",OFFSET('HARGA SATUAN'!$D$6,MATCH(RAB!C64,'HARGA SATUAN'!$C$7:$C$1492,0),0))</f>
        <v>HDW</v>
      </c>
      <c r="E64" s="354" t="str">
        <f ca="1">IF(B64="+","Unit",IF(ISERROR(OFFSET('HARGA SATUAN'!$E$6,MATCH(RAB!C64,'HARGA SATUAN'!$C$7:$C$1492,0),0)),"",OFFSET('HARGA SATUAN'!$E$6,MATCH(RAB!C64,'HARGA SATUAN'!$C$7:$C$1492,0),0)))</f>
        <v>Bh</v>
      </c>
      <c r="F64" s="361">
        <v>1</v>
      </c>
      <c r="G64" s="355">
        <f ca="1">IF(ISERROR(OFFSET('HARGA SATUAN'!$I$6,MATCH(RAB!C64,'HARGA SATUAN'!$C$7:$C$1492,0),0)),0,OFFSET('HARGA SATUAN'!$I$6,MATCH(RAB!C64,'HARGA SATUAN'!$C$7:$C$1492,0),0))</f>
        <v>12500</v>
      </c>
      <c r="H64" s="356">
        <f t="shared" ca="1" si="16"/>
        <v>0</v>
      </c>
      <c r="I64" s="356">
        <f t="shared" ca="1" si="17"/>
        <v>12500</v>
      </c>
      <c r="J64" s="356">
        <f t="shared" ca="1" si="18"/>
        <v>0</v>
      </c>
      <c r="K64" s="357">
        <f t="shared" ca="1" si="19"/>
        <v>12500</v>
      </c>
      <c r="L64" s="362"/>
      <c r="M64" s="362"/>
      <c r="N64" s="362"/>
      <c r="O64" s="358"/>
      <c r="P64" s="358"/>
      <c r="Q64" s="341"/>
      <c r="R64" s="333"/>
      <c r="S64" s="359"/>
      <c r="T64" s="338"/>
      <c r="U64" s="338"/>
      <c r="V64" s="338"/>
    </row>
    <row r="65" spans="1:22" s="363" customFormat="1">
      <c r="A65" s="333"/>
      <c r="B65" s="487">
        <v>3</v>
      </c>
      <c r="C65" s="488" t="s">
        <v>206</v>
      </c>
      <c r="D65" s="353" t="str">
        <f ca="1">IF(ISERROR(OFFSET('HARGA SATUAN'!$D$6,MATCH(RAB!C65,'HARGA SATUAN'!$C$7:$C$1492,0),0)),"",OFFSET('HARGA SATUAN'!$D$6,MATCH(RAB!C65,'HARGA SATUAN'!$C$7:$C$1492,0),0))</f>
        <v>HDW</v>
      </c>
      <c r="E65" s="354" t="str">
        <f ca="1">IF(B65="+","Unit",IF(ISERROR(OFFSET('HARGA SATUAN'!$E$6,MATCH(RAB!C65,'HARGA SATUAN'!$C$7:$C$1492,0),0)),"",OFFSET('HARGA SATUAN'!$E$6,MATCH(RAB!C65,'HARGA SATUAN'!$C$7:$C$1492,0),0)))</f>
        <v>Mtr</v>
      </c>
      <c r="F65" s="361">
        <v>12</v>
      </c>
      <c r="G65" s="355">
        <f ca="1">IF(ISERROR(OFFSET('HARGA SATUAN'!$I$6,MATCH(RAB!C65,'HARGA SATUAN'!$C$7:$C$1492,0),0)),0,OFFSET('HARGA SATUAN'!$I$6,MATCH(RAB!C65,'HARGA SATUAN'!$C$7:$C$1492,0),0))</f>
        <v>39204</v>
      </c>
      <c r="H65" s="356">
        <f t="shared" ca="1" si="16"/>
        <v>0</v>
      </c>
      <c r="I65" s="356">
        <f t="shared" ca="1" si="17"/>
        <v>470448</v>
      </c>
      <c r="J65" s="356">
        <f t="shared" ca="1" si="18"/>
        <v>0</v>
      </c>
      <c r="K65" s="357">
        <f t="shared" ca="1" si="19"/>
        <v>470448</v>
      </c>
      <c r="L65" s="362"/>
      <c r="M65" s="362"/>
      <c r="N65" s="362"/>
      <c r="O65" s="358"/>
      <c r="P65" s="358"/>
      <c r="Q65" s="341"/>
      <c r="R65" s="333"/>
      <c r="S65" s="359"/>
      <c r="T65" s="338"/>
      <c r="U65" s="338"/>
      <c r="V65" s="338"/>
    </row>
    <row r="66" spans="1:22" s="363" customFormat="1">
      <c r="A66" s="333"/>
      <c r="B66" s="487">
        <v>4</v>
      </c>
      <c r="C66" s="488" t="s">
        <v>287</v>
      </c>
      <c r="D66" s="353" t="str">
        <f ca="1">IF(ISERROR(OFFSET('HARGA SATUAN'!$D$6,MATCH(RAB!C66,'HARGA SATUAN'!$C$7:$C$1492,0),0)),"",OFFSET('HARGA SATUAN'!$D$6,MATCH(RAB!C66,'HARGA SATUAN'!$C$7:$C$1492,0),0))</f>
        <v>HDW</v>
      </c>
      <c r="E66" s="354" t="str">
        <f ca="1">IF(B66="+","Unit",IF(ISERROR(OFFSET('HARGA SATUAN'!$E$6,MATCH(RAB!C66,'HARGA SATUAN'!$C$7:$C$1492,0),0)),"",OFFSET('HARGA SATUAN'!$E$6,MATCH(RAB!C66,'HARGA SATUAN'!$C$7:$C$1492,0),0)))</f>
        <v>Bh</v>
      </c>
      <c r="F66" s="361">
        <v>2</v>
      </c>
      <c r="G66" s="355">
        <f ca="1">IF(ISERROR(OFFSET('HARGA SATUAN'!$I$6,MATCH(RAB!C66,'HARGA SATUAN'!$C$7:$C$1492,0),0)),0,OFFSET('HARGA SATUAN'!$I$6,MATCH(RAB!C66,'HARGA SATUAN'!$C$7:$C$1492,0),0))</f>
        <v>40000</v>
      </c>
      <c r="H66" s="356">
        <f t="shared" ca="1" si="16"/>
        <v>0</v>
      </c>
      <c r="I66" s="356">
        <f t="shared" ca="1" si="17"/>
        <v>80000</v>
      </c>
      <c r="J66" s="356">
        <f t="shared" ca="1" si="18"/>
        <v>0</v>
      </c>
      <c r="K66" s="357">
        <f t="shared" ca="1" si="19"/>
        <v>80000</v>
      </c>
      <c r="L66" s="362"/>
      <c r="M66" s="362"/>
      <c r="N66" s="362"/>
      <c r="O66" s="358"/>
      <c r="P66" s="358"/>
      <c r="Q66" s="341"/>
      <c r="R66" s="333"/>
      <c r="S66" s="359"/>
      <c r="T66" s="338"/>
      <c r="U66" s="338"/>
      <c r="V66" s="338"/>
    </row>
    <row r="67" spans="1:22" s="363" customFormat="1">
      <c r="A67" s="333"/>
      <c r="B67" s="487">
        <v>5</v>
      </c>
      <c r="C67" s="488" t="s">
        <v>26</v>
      </c>
      <c r="D67" s="353" t="str">
        <f ca="1">IF(ISERROR(OFFSET('HARGA SATUAN'!$D$6,MATCH(RAB!C67,'HARGA SATUAN'!$C$7:$C$1492,0),0)),"",OFFSET('HARGA SATUAN'!$D$6,MATCH(RAB!C67,'HARGA SATUAN'!$C$7:$C$1492,0),0))</f>
        <v>HDW</v>
      </c>
      <c r="E67" s="354" t="str">
        <f ca="1">IF(B67="+","Unit",IF(ISERROR(OFFSET('HARGA SATUAN'!$E$6,MATCH(RAB!C67,'HARGA SATUAN'!$C$7:$C$1492,0),0)),"",OFFSET('HARGA SATUAN'!$E$6,MATCH(RAB!C67,'HARGA SATUAN'!$C$7:$C$1492,0),0)))</f>
        <v>Bh</v>
      </c>
      <c r="F67" s="361">
        <v>1</v>
      </c>
      <c r="G67" s="355">
        <f ca="1">IF(ISERROR(OFFSET('HARGA SATUAN'!$I$6,MATCH(RAB!C67,'HARGA SATUAN'!$C$7:$C$1492,0),0)),0,OFFSET('HARGA SATUAN'!$I$6,MATCH(RAB!C67,'HARGA SATUAN'!$C$7:$C$1492,0),0))</f>
        <v>2500</v>
      </c>
      <c r="H67" s="356">
        <f t="shared" ca="1" si="16"/>
        <v>0</v>
      </c>
      <c r="I67" s="356">
        <f t="shared" ca="1" si="17"/>
        <v>2500</v>
      </c>
      <c r="J67" s="356">
        <f t="shared" ca="1" si="18"/>
        <v>0</v>
      </c>
      <c r="K67" s="357">
        <f t="shared" ca="1" si="19"/>
        <v>2500</v>
      </c>
      <c r="L67" s="362"/>
      <c r="M67" s="362"/>
      <c r="N67" s="362"/>
      <c r="O67" s="358"/>
      <c r="P67" s="358"/>
      <c r="Q67" s="341"/>
      <c r="R67" s="333"/>
      <c r="S67" s="359"/>
      <c r="T67" s="338"/>
      <c r="U67" s="338"/>
      <c r="V67" s="338"/>
    </row>
    <row r="68" spans="1:22" s="363" customFormat="1">
      <c r="A68" s="333"/>
      <c r="B68" s="487">
        <v>6</v>
      </c>
      <c r="C68" s="488" t="s">
        <v>759</v>
      </c>
      <c r="D68" s="353" t="str">
        <f ca="1">IF(ISERROR(OFFSET('HARGA SATUAN'!$D$6,MATCH(RAB!C68,'HARGA SATUAN'!$C$7:$C$1492,0),0)),"",OFFSET('HARGA SATUAN'!$D$6,MATCH(RAB!C68,'HARGA SATUAN'!$C$7:$C$1492,0),0))</f>
        <v>JASA</v>
      </c>
      <c r="E68" s="354" t="str">
        <f ca="1">IF(B68="+","Unit",IF(ISERROR(OFFSET('HARGA SATUAN'!$E$6,MATCH(RAB!C68,'HARGA SATUAN'!$C$7:$C$1492,0),0)),"",OFFSET('HARGA SATUAN'!$E$6,MATCH(RAB!C68,'HARGA SATUAN'!$C$7:$C$1492,0),0)))</f>
        <v>Unit</v>
      </c>
      <c r="F68" s="361">
        <v>1</v>
      </c>
      <c r="G68" s="355">
        <f ca="1">IF(ISERROR(OFFSET('HARGA SATUAN'!$I$6,MATCH(RAB!C68,'HARGA SATUAN'!$C$7:$C$1492,0),0)),0,OFFSET('HARGA SATUAN'!$I$6,MATCH(RAB!C68,'HARGA SATUAN'!$C$7:$C$1492,0),0))</f>
        <v>36600</v>
      </c>
      <c r="H68" s="356">
        <f t="shared" ca="1" si="16"/>
        <v>0</v>
      </c>
      <c r="I68" s="356">
        <f t="shared" ca="1" si="17"/>
        <v>0</v>
      </c>
      <c r="J68" s="356">
        <f t="shared" ca="1" si="18"/>
        <v>36600</v>
      </c>
      <c r="K68" s="357">
        <f t="shared" ca="1" si="19"/>
        <v>36600</v>
      </c>
      <c r="L68" s="362"/>
      <c r="M68" s="362"/>
      <c r="N68" s="362"/>
      <c r="O68" s="358"/>
      <c r="P68" s="358"/>
      <c r="Q68" s="341"/>
      <c r="R68" s="333"/>
      <c r="S68" s="359"/>
      <c r="T68" s="338"/>
      <c r="U68" s="338"/>
      <c r="V68" s="338"/>
    </row>
    <row r="69" spans="1:22" s="363" customFormat="1">
      <c r="A69" s="333"/>
      <c r="B69" s="487"/>
      <c r="C69" s="488"/>
      <c r="D69" s="353" t="str">
        <f ca="1">IF(ISERROR(OFFSET('HARGA SATUAN'!$D$6,MATCH(RAB!C69,'HARGA SATUAN'!$C$7:$C$1492,0),0)),"",OFFSET('HARGA SATUAN'!$D$6,MATCH(RAB!C69,'HARGA SATUAN'!$C$7:$C$1492,0),0))</f>
        <v/>
      </c>
      <c r="E69" s="354" t="str">
        <f ca="1">IF(B69="+","Unit",IF(ISERROR(OFFSET('HARGA SATUAN'!$E$6,MATCH(RAB!C69,'HARGA SATUAN'!$C$7:$C$1492,0),0)),"",OFFSET('HARGA SATUAN'!$E$6,MATCH(RAB!C69,'HARGA SATUAN'!$C$7:$C$1492,0),0)))</f>
        <v/>
      </c>
      <c r="F69" s="361"/>
      <c r="G69" s="355">
        <f ca="1">IF(ISERROR(OFFSET('HARGA SATUAN'!$I$6,MATCH(RAB!C69,'HARGA SATUAN'!$C$7:$C$1492,0),0)),0,OFFSET('HARGA SATUAN'!$I$6,MATCH(RAB!C69,'HARGA SATUAN'!$C$7:$C$1492,0),0))</f>
        <v>0</v>
      </c>
      <c r="H69" s="356">
        <f t="shared" ca="1" si="16"/>
        <v>0</v>
      </c>
      <c r="I69" s="356">
        <f t="shared" ca="1" si="17"/>
        <v>0</v>
      </c>
      <c r="J69" s="356">
        <f t="shared" ca="1" si="18"/>
        <v>0</v>
      </c>
      <c r="K69" s="357">
        <f t="shared" ca="1" si="19"/>
        <v>0</v>
      </c>
      <c r="L69" s="362"/>
      <c r="M69" s="362"/>
      <c r="N69" s="362"/>
      <c r="O69" s="358"/>
      <c r="P69" s="358"/>
      <c r="Q69" s="341"/>
      <c r="R69" s="333"/>
      <c r="S69" s="359"/>
      <c r="T69" s="338"/>
      <c r="U69" s="338"/>
      <c r="V69" s="338"/>
    </row>
    <row r="70" spans="1:22" s="363" customFormat="1">
      <c r="A70" s="333"/>
      <c r="B70" s="487" t="s">
        <v>1034</v>
      </c>
      <c r="C70" s="488" t="s">
        <v>1624</v>
      </c>
      <c r="D70" s="353" t="str">
        <f ca="1">IF(ISERROR(OFFSET('HARGA SATUAN'!$D$6,MATCH(RAB!C70,'HARGA SATUAN'!$C$7:$C$1492,0),0)),"",OFFSET('HARGA SATUAN'!$D$6,MATCH(RAB!C70,'HARGA SATUAN'!$C$7:$C$1492,0),0))</f>
        <v/>
      </c>
      <c r="E70" s="354" t="str">
        <f ca="1">IF(B70="+","Unit",IF(ISERROR(OFFSET('HARGA SATUAN'!$E$6,MATCH(RAB!C70,'HARGA SATUAN'!$C$7:$C$1492,0),0)),"",OFFSET('HARGA SATUAN'!$E$6,MATCH(RAB!C70,'HARGA SATUAN'!$C$7:$C$1492,0),0)))</f>
        <v>Unit</v>
      </c>
      <c r="F70" s="361">
        <v>1</v>
      </c>
      <c r="G70" s="355">
        <f ca="1">IF(ISERROR(OFFSET('HARGA SATUAN'!$I$6,MATCH(RAB!C70,'HARGA SATUAN'!$C$7:$C$1492,0),0)),0,OFFSET('HARGA SATUAN'!$I$6,MATCH(RAB!C70,'HARGA SATUAN'!$C$7:$C$1492,0),0))</f>
        <v>0</v>
      </c>
      <c r="H70" s="356">
        <f t="shared" ca="1" si="16"/>
        <v>0</v>
      </c>
      <c r="I70" s="356">
        <f t="shared" ca="1" si="17"/>
        <v>0</v>
      </c>
      <c r="J70" s="356">
        <f t="shared" ca="1" si="18"/>
        <v>0</v>
      </c>
      <c r="K70" s="357">
        <f t="shared" ca="1" si="19"/>
        <v>0</v>
      </c>
      <c r="L70" s="362"/>
      <c r="M70" s="362"/>
      <c r="N70" s="362"/>
      <c r="O70" s="358"/>
      <c r="P70" s="358"/>
      <c r="Q70" s="341"/>
      <c r="R70" s="333"/>
      <c r="S70" s="359"/>
      <c r="T70" s="338"/>
      <c r="U70" s="338"/>
      <c r="V70" s="338"/>
    </row>
    <row r="71" spans="1:22" s="363" customFormat="1">
      <c r="A71" s="333"/>
      <c r="B71" s="487">
        <v>1</v>
      </c>
      <c r="C71" s="488" t="s">
        <v>596</v>
      </c>
      <c r="D71" s="353" t="str">
        <f ca="1">IF(ISERROR(OFFSET('HARGA SATUAN'!$D$6,MATCH(RAB!C71,'HARGA SATUAN'!$C$7:$C$1492,0),0)),"",OFFSET('HARGA SATUAN'!$D$6,MATCH(RAB!C71,'HARGA SATUAN'!$C$7:$C$1492,0),0))</f>
        <v>HDW</v>
      </c>
      <c r="E71" s="354" t="str">
        <f ca="1">IF(B71="+","Unit",IF(ISERROR(OFFSET('HARGA SATUAN'!$E$6,MATCH(RAB!C71,'HARGA SATUAN'!$C$7:$C$1492,0),0)),"",OFFSET('HARGA SATUAN'!$E$6,MATCH(RAB!C71,'HARGA SATUAN'!$C$7:$C$1492,0),0)))</f>
        <v>Bh</v>
      </c>
      <c r="F71" s="361">
        <v>1</v>
      </c>
      <c r="G71" s="355">
        <f ca="1">IF(ISERROR(OFFSET('HARGA SATUAN'!$I$6,MATCH(RAB!C71,'HARGA SATUAN'!$C$7:$C$1492,0),0)),0,OFFSET('HARGA SATUAN'!$I$6,MATCH(RAB!C71,'HARGA SATUAN'!$C$7:$C$1492,0),0))</f>
        <v>120900</v>
      </c>
      <c r="H71" s="356">
        <f t="shared" ca="1" si="16"/>
        <v>0</v>
      </c>
      <c r="I71" s="356">
        <f t="shared" ca="1" si="17"/>
        <v>120900</v>
      </c>
      <c r="J71" s="356">
        <f t="shared" ca="1" si="18"/>
        <v>0</v>
      </c>
      <c r="K71" s="357">
        <f t="shared" ca="1" si="19"/>
        <v>120900</v>
      </c>
      <c r="L71" s="362"/>
      <c r="M71" s="362"/>
      <c r="N71" s="362"/>
      <c r="O71" s="358"/>
      <c r="P71" s="358"/>
      <c r="Q71" s="341"/>
      <c r="R71" s="333"/>
      <c r="S71" s="359"/>
      <c r="T71" s="338"/>
      <c r="U71" s="338"/>
      <c r="V71" s="338"/>
    </row>
    <row r="72" spans="1:22" s="363" customFormat="1">
      <c r="A72" s="333"/>
      <c r="B72" s="487">
        <v>2</v>
      </c>
      <c r="C72" s="488" t="s">
        <v>261</v>
      </c>
      <c r="D72" s="353" t="str">
        <f ca="1">IF(ISERROR(OFFSET('HARGA SATUAN'!$D$6,MATCH(RAB!C72,'HARGA SATUAN'!$C$7:$C$1492,0),0)),"",OFFSET('HARGA SATUAN'!$D$6,MATCH(RAB!C72,'HARGA SATUAN'!$C$7:$C$1492,0),0))</f>
        <v>HDW</v>
      </c>
      <c r="E72" s="354" t="str">
        <f ca="1">IF(B72="+","Unit",IF(ISERROR(OFFSET('HARGA SATUAN'!$E$6,MATCH(RAB!C72,'HARGA SATUAN'!$C$7:$C$1492,0),0)),"",OFFSET('HARGA SATUAN'!$E$6,MATCH(RAB!C72,'HARGA SATUAN'!$C$7:$C$1492,0),0)))</f>
        <v>Bh</v>
      </c>
      <c r="F72" s="361">
        <v>1</v>
      </c>
      <c r="G72" s="355">
        <f ca="1">IF(ISERROR(OFFSET('HARGA SATUAN'!$I$6,MATCH(RAB!C72,'HARGA SATUAN'!$C$7:$C$1492,0),0)),0,OFFSET('HARGA SATUAN'!$I$6,MATCH(RAB!C72,'HARGA SATUAN'!$C$7:$C$1492,0),0))</f>
        <v>135800</v>
      </c>
      <c r="H72" s="356">
        <f t="shared" ca="1" si="16"/>
        <v>0</v>
      </c>
      <c r="I72" s="356">
        <f t="shared" ca="1" si="17"/>
        <v>135800</v>
      </c>
      <c r="J72" s="356">
        <f t="shared" ca="1" si="18"/>
        <v>0</v>
      </c>
      <c r="K72" s="357">
        <f t="shared" ca="1" si="19"/>
        <v>135800</v>
      </c>
      <c r="L72" s="362"/>
      <c r="M72" s="362"/>
      <c r="N72" s="362"/>
      <c r="O72" s="358"/>
      <c r="P72" s="358"/>
      <c r="Q72" s="341"/>
      <c r="R72" s="333"/>
      <c r="S72" s="359"/>
      <c r="T72" s="338"/>
      <c r="U72" s="338"/>
      <c r="V72" s="338"/>
    </row>
    <row r="73" spans="1:22" s="363" customFormat="1">
      <c r="A73" s="333"/>
      <c r="B73" s="487">
        <v>3</v>
      </c>
      <c r="C73" s="488" t="s">
        <v>214</v>
      </c>
      <c r="D73" s="353" t="str">
        <f ca="1">IF(ISERROR(OFFSET('HARGA SATUAN'!$D$6,MATCH(RAB!C73,'HARGA SATUAN'!$C$7:$C$1492,0),0)),"",OFFSET('HARGA SATUAN'!$D$6,MATCH(RAB!C73,'HARGA SATUAN'!$C$7:$C$1492,0),0))</f>
        <v>HDW</v>
      </c>
      <c r="E73" s="354" t="str">
        <f ca="1">IF(B73="+","Unit",IF(ISERROR(OFFSET('HARGA SATUAN'!$E$6,MATCH(RAB!C73,'HARGA SATUAN'!$C$7:$C$1492,0),0)),"",OFFSET('HARGA SATUAN'!$E$6,MATCH(RAB!C73,'HARGA SATUAN'!$C$7:$C$1492,0),0)))</f>
        <v>Bh</v>
      </c>
      <c r="F73" s="361">
        <v>1</v>
      </c>
      <c r="G73" s="355">
        <f ca="1">IF(ISERROR(OFFSET('HARGA SATUAN'!$I$6,MATCH(RAB!C73,'HARGA SATUAN'!$C$7:$C$1492,0),0)),0,OFFSET('HARGA SATUAN'!$I$6,MATCH(RAB!C73,'HARGA SATUAN'!$C$7:$C$1492,0),0))</f>
        <v>4500</v>
      </c>
      <c r="H73" s="356">
        <f t="shared" ca="1" si="16"/>
        <v>0</v>
      </c>
      <c r="I73" s="356">
        <f t="shared" ca="1" si="17"/>
        <v>4500</v>
      </c>
      <c r="J73" s="356">
        <f t="shared" ca="1" si="18"/>
        <v>0</v>
      </c>
      <c r="K73" s="357">
        <f t="shared" ca="1" si="19"/>
        <v>4500</v>
      </c>
      <c r="L73" s="362"/>
      <c r="M73" s="362"/>
      <c r="N73" s="362"/>
      <c r="O73" s="358"/>
      <c r="P73" s="358"/>
      <c r="Q73" s="341"/>
      <c r="R73" s="333"/>
      <c r="S73" s="359"/>
      <c r="T73" s="338"/>
      <c r="U73" s="338"/>
      <c r="V73" s="338"/>
    </row>
    <row r="74" spans="1:22" s="363" customFormat="1">
      <c r="A74" s="333"/>
      <c r="B74" s="487">
        <v>4</v>
      </c>
      <c r="C74" s="488" t="s">
        <v>767</v>
      </c>
      <c r="D74" s="353" t="str">
        <f ca="1">IF(ISERROR(OFFSET('HARGA SATUAN'!$D$6,MATCH(RAB!C74,'HARGA SATUAN'!$C$7:$C$1492,0),0)),"",OFFSET('HARGA SATUAN'!$D$6,MATCH(RAB!C74,'HARGA SATUAN'!$C$7:$C$1492,0),0))</f>
        <v>JASA</v>
      </c>
      <c r="E74" s="354" t="str">
        <f ca="1">IF(B74="+","Unit",IF(ISERROR(OFFSET('HARGA SATUAN'!$E$6,MATCH(RAB!C74,'HARGA SATUAN'!$C$7:$C$1492,0),0)),"",OFFSET('HARGA SATUAN'!$E$6,MATCH(RAB!C74,'HARGA SATUAN'!$C$7:$C$1492,0),0)))</f>
        <v>Unit</v>
      </c>
      <c r="F74" s="361">
        <v>1</v>
      </c>
      <c r="G74" s="355">
        <f ca="1">IF(ISERROR(OFFSET('HARGA SATUAN'!$I$6,MATCH(RAB!C74,'HARGA SATUAN'!$C$7:$C$1492,0),0)),0,OFFSET('HARGA SATUAN'!$I$6,MATCH(RAB!C74,'HARGA SATUAN'!$C$7:$C$1492,0),0))</f>
        <v>55500</v>
      </c>
      <c r="H74" s="356">
        <f t="shared" ca="1" si="16"/>
        <v>0</v>
      </c>
      <c r="I74" s="356">
        <f t="shared" ca="1" si="17"/>
        <v>0</v>
      </c>
      <c r="J74" s="356">
        <f t="shared" ca="1" si="18"/>
        <v>55500</v>
      </c>
      <c r="K74" s="357">
        <f t="shared" ca="1" si="19"/>
        <v>55500</v>
      </c>
      <c r="L74" s="362"/>
      <c r="M74" s="362"/>
      <c r="N74" s="362"/>
      <c r="O74" s="358"/>
      <c r="P74" s="358"/>
      <c r="Q74" s="341"/>
      <c r="R74" s="333"/>
      <c r="S74" s="359"/>
      <c r="T74" s="338"/>
      <c r="U74" s="338"/>
      <c r="V74" s="338"/>
    </row>
    <row r="75" spans="1:22" s="363" customFormat="1">
      <c r="A75" s="333"/>
      <c r="B75" s="487"/>
      <c r="C75" s="488"/>
      <c r="D75" s="353" t="str">
        <f ca="1">IF(ISERROR(OFFSET('HARGA SATUAN'!$D$6,MATCH(RAB!C75,'HARGA SATUAN'!$C$7:$C$1492,0),0)),"",OFFSET('HARGA SATUAN'!$D$6,MATCH(RAB!C75,'HARGA SATUAN'!$C$7:$C$1492,0),0))</f>
        <v/>
      </c>
      <c r="E75" s="354" t="str">
        <f ca="1">IF(B75="+","Unit",IF(ISERROR(OFFSET('HARGA SATUAN'!$E$6,MATCH(RAB!C75,'HARGA SATUAN'!$C$7:$C$1492,0),0)),"",OFFSET('HARGA SATUAN'!$E$6,MATCH(RAB!C75,'HARGA SATUAN'!$C$7:$C$1492,0),0)))</f>
        <v/>
      </c>
      <c r="F75" s="361"/>
      <c r="G75" s="355">
        <f ca="1">IF(ISERROR(OFFSET('HARGA SATUAN'!$I$6,MATCH(RAB!C75,'HARGA SATUAN'!$C$7:$C$1492,0),0)),0,OFFSET('HARGA SATUAN'!$I$6,MATCH(RAB!C75,'HARGA SATUAN'!$C$7:$C$1492,0),0))</f>
        <v>0</v>
      </c>
      <c r="H75" s="356">
        <f t="shared" ca="1" si="16"/>
        <v>0</v>
      </c>
      <c r="I75" s="356">
        <f t="shared" ca="1" si="17"/>
        <v>0</v>
      </c>
      <c r="J75" s="356">
        <f t="shared" ca="1" si="18"/>
        <v>0</v>
      </c>
      <c r="K75" s="357">
        <f t="shared" ca="1" si="19"/>
        <v>0</v>
      </c>
      <c r="L75" s="362"/>
      <c r="M75" s="362"/>
      <c r="N75" s="362"/>
      <c r="O75" s="358"/>
      <c r="P75" s="358"/>
      <c r="Q75" s="341"/>
      <c r="R75" s="333"/>
      <c r="S75" s="359"/>
      <c r="T75" s="338"/>
      <c r="U75" s="338"/>
      <c r="V75" s="338"/>
    </row>
    <row r="76" spans="1:22" s="363" customFormat="1">
      <c r="A76" s="333"/>
      <c r="B76" s="487" t="s">
        <v>1034</v>
      </c>
      <c r="C76" s="488" t="s">
        <v>1625</v>
      </c>
      <c r="D76" s="353" t="str">
        <f ca="1">IF(ISERROR(OFFSET('HARGA SATUAN'!$D$6,MATCH(RAB!C76,'HARGA SATUAN'!$C$7:$C$1492,0),0)),"",OFFSET('HARGA SATUAN'!$D$6,MATCH(RAB!C76,'HARGA SATUAN'!$C$7:$C$1492,0),0))</f>
        <v/>
      </c>
      <c r="E76" s="354" t="str">
        <f ca="1">IF(B76="+","Unit",IF(ISERROR(OFFSET('HARGA SATUAN'!$E$6,MATCH(RAB!C76,'HARGA SATUAN'!$C$7:$C$1492,0),0)),"",OFFSET('HARGA SATUAN'!$E$6,MATCH(RAB!C76,'HARGA SATUAN'!$C$7:$C$1492,0),0)))</f>
        <v>Unit</v>
      </c>
      <c r="F76" s="361">
        <v>1</v>
      </c>
      <c r="G76" s="355">
        <f ca="1">IF(ISERROR(OFFSET('HARGA SATUAN'!$I$6,MATCH(RAB!C76,'HARGA SATUAN'!$C$7:$C$1492,0),0)),0,OFFSET('HARGA SATUAN'!$I$6,MATCH(RAB!C76,'HARGA SATUAN'!$C$7:$C$1492,0),0))</f>
        <v>0</v>
      </c>
      <c r="H76" s="356">
        <f t="shared" ca="1" si="16"/>
        <v>0</v>
      </c>
      <c r="I76" s="356">
        <f t="shared" ca="1" si="17"/>
        <v>0</v>
      </c>
      <c r="J76" s="356">
        <f t="shared" ca="1" si="18"/>
        <v>0</v>
      </c>
      <c r="K76" s="357">
        <f t="shared" ca="1" si="19"/>
        <v>0</v>
      </c>
      <c r="L76" s="362"/>
      <c r="M76" s="362"/>
      <c r="N76" s="362"/>
      <c r="O76" s="358"/>
      <c r="P76" s="358"/>
      <c r="Q76" s="341"/>
      <c r="R76" s="333"/>
      <c r="S76" s="359"/>
      <c r="T76" s="338"/>
      <c r="U76" s="338"/>
      <c r="V76" s="338"/>
    </row>
    <row r="77" spans="1:22" s="363" customFormat="1">
      <c r="A77" s="333"/>
      <c r="B77" s="487">
        <v>1</v>
      </c>
      <c r="C77" s="488" t="s">
        <v>30</v>
      </c>
      <c r="D77" s="353" t="str">
        <f ca="1">IF(ISERROR(OFFSET('HARGA SATUAN'!$D$6,MATCH(RAB!C77,'HARGA SATUAN'!$C$7:$C$1492,0),0)),"",OFFSET('HARGA SATUAN'!$D$6,MATCH(RAB!C77,'HARGA SATUAN'!$C$7:$C$1492,0),0))</f>
        <v>HDW</v>
      </c>
      <c r="E77" s="354" t="str">
        <f ca="1">IF(B77="+","Unit",IF(ISERROR(OFFSET('HARGA SATUAN'!$E$6,MATCH(RAB!C77,'HARGA SATUAN'!$C$7:$C$1492,0),0)),"",OFFSET('HARGA SATUAN'!$E$6,MATCH(RAB!C77,'HARGA SATUAN'!$C$7:$C$1492,0),0)))</f>
        <v>Bh</v>
      </c>
      <c r="F77" s="361">
        <v>1</v>
      </c>
      <c r="G77" s="355">
        <f ca="1">IF(ISERROR(OFFSET('HARGA SATUAN'!$I$6,MATCH(RAB!C77,'HARGA SATUAN'!$C$7:$C$1492,0),0)),0,OFFSET('HARGA SATUAN'!$I$6,MATCH(RAB!C77,'HARGA SATUAN'!$C$7:$C$1492,0),0))</f>
        <v>47459</v>
      </c>
      <c r="H77" s="356">
        <f t="shared" ref="H77:H81" ca="1" si="20">IF(OR(D77="MDU",D77="MDU-KD"),(IF($O$3="RAB NON MDU","PLN KD",G77*F77)),0)</f>
        <v>0</v>
      </c>
      <c r="I77" s="356">
        <f t="shared" ref="I77:I81" ca="1" si="21">IF(D77="HDW",G77*F77,0)</f>
        <v>47459</v>
      </c>
      <c r="J77" s="356">
        <f t="shared" ref="J77:J81" ca="1" si="22">IF(D77="JASA",G77*F77,0)</f>
        <v>0</v>
      </c>
      <c r="K77" s="357">
        <f t="shared" ref="K77:K81" ca="1" si="23">SUM(H77:J77)</f>
        <v>47459</v>
      </c>
      <c r="L77" s="362"/>
      <c r="M77" s="362"/>
      <c r="N77" s="362"/>
      <c r="O77" s="358"/>
      <c r="P77" s="358"/>
      <c r="Q77" s="341"/>
      <c r="R77" s="333"/>
      <c r="S77" s="359"/>
      <c r="T77" s="338"/>
      <c r="U77" s="338"/>
      <c r="V77" s="338"/>
    </row>
    <row r="78" spans="1:22" s="363" customFormat="1">
      <c r="A78" s="333"/>
      <c r="B78" s="487">
        <v>2</v>
      </c>
      <c r="C78" s="488" t="s">
        <v>32</v>
      </c>
      <c r="D78" s="353" t="str">
        <f ca="1">IF(ISERROR(OFFSET('HARGA SATUAN'!$D$6,MATCH(RAB!C78,'HARGA SATUAN'!$C$7:$C$1492,0),0)),"",OFFSET('HARGA SATUAN'!$D$6,MATCH(RAB!C78,'HARGA SATUAN'!$C$7:$C$1492,0),0))</f>
        <v>HDW</v>
      </c>
      <c r="E78" s="354" t="str">
        <f ca="1">IF(B78="+","Unit",IF(ISERROR(OFFSET('HARGA SATUAN'!$E$6,MATCH(RAB!C78,'HARGA SATUAN'!$C$7:$C$1492,0),0)),"",OFFSET('HARGA SATUAN'!$E$6,MATCH(RAB!C78,'HARGA SATUAN'!$C$7:$C$1492,0),0)))</f>
        <v>Mtr</v>
      </c>
      <c r="F78" s="361">
        <v>1</v>
      </c>
      <c r="G78" s="355">
        <f ca="1">IF(ISERROR(OFFSET('HARGA SATUAN'!$I$6,MATCH(RAB!C78,'HARGA SATUAN'!$C$7:$C$1492,0),0)),0,OFFSET('HARGA SATUAN'!$I$6,MATCH(RAB!C78,'HARGA SATUAN'!$C$7:$C$1492,0),0))</f>
        <v>30000</v>
      </c>
      <c r="H78" s="356">
        <f t="shared" ca="1" si="20"/>
        <v>0</v>
      </c>
      <c r="I78" s="356">
        <f t="shared" ca="1" si="21"/>
        <v>30000</v>
      </c>
      <c r="J78" s="356">
        <f t="shared" ca="1" si="22"/>
        <v>0</v>
      </c>
      <c r="K78" s="357">
        <f t="shared" ca="1" si="23"/>
        <v>30000</v>
      </c>
      <c r="L78" s="362"/>
      <c r="M78" s="362"/>
      <c r="N78" s="362"/>
      <c r="O78" s="358"/>
      <c r="P78" s="358"/>
      <c r="Q78" s="341"/>
      <c r="R78" s="333"/>
      <c r="S78" s="359"/>
      <c r="T78" s="338"/>
      <c r="U78" s="338"/>
      <c r="V78" s="338"/>
    </row>
    <row r="79" spans="1:22" s="363" customFormat="1">
      <c r="A79" s="333"/>
      <c r="B79" s="487">
        <v>3</v>
      </c>
      <c r="C79" s="488" t="s">
        <v>33</v>
      </c>
      <c r="D79" s="353" t="str">
        <f ca="1">IF(ISERROR(OFFSET('HARGA SATUAN'!$D$6,MATCH(RAB!C79,'HARGA SATUAN'!$C$7:$C$1492,0),0)),"",OFFSET('HARGA SATUAN'!$D$6,MATCH(RAB!C79,'HARGA SATUAN'!$C$7:$C$1492,0),0))</f>
        <v>HDW</v>
      </c>
      <c r="E79" s="354" t="str">
        <f ca="1">IF(B79="+","Unit",IF(ISERROR(OFFSET('HARGA SATUAN'!$E$6,MATCH(RAB!C79,'HARGA SATUAN'!$C$7:$C$1492,0),0)),"",OFFSET('HARGA SATUAN'!$E$6,MATCH(RAB!C79,'HARGA SATUAN'!$C$7:$C$1492,0),0)))</f>
        <v>Bh</v>
      </c>
      <c r="F79" s="361">
        <v>1</v>
      </c>
      <c r="G79" s="355">
        <f ca="1">IF(ISERROR(OFFSET('HARGA SATUAN'!$I$6,MATCH(RAB!C79,'HARGA SATUAN'!$C$7:$C$1492,0),0)),0,OFFSET('HARGA SATUAN'!$I$6,MATCH(RAB!C79,'HARGA SATUAN'!$C$7:$C$1492,0),0))</f>
        <v>9500</v>
      </c>
      <c r="H79" s="356">
        <f t="shared" ca="1" si="20"/>
        <v>0</v>
      </c>
      <c r="I79" s="356">
        <f t="shared" ca="1" si="21"/>
        <v>9500</v>
      </c>
      <c r="J79" s="356">
        <f t="shared" ca="1" si="22"/>
        <v>0</v>
      </c>
      <c r="K79" s="357">
        <f t="shared" ca="1" si="23"/>
        <v>9500</v>
      </c>
      <c r="L79" s="362"/>
      <c r="M79" s="362"/>
      <c r="N79" s="362"/>
      <c r="O79" s="358"/>
      <c r="P79" s="358"/>
      <c r="Q79" s="341"/>
      <c r="R79" s="333"/>
      <c r="S79" s="359"/>
      <c r="T79" s="338"/>
      <c r="U79" s="338"/>
      <c r="V79" s="338"/>
    </row>
    <row r="80" spans="1:22" s="363" customFormat="1">
      <c r="A80" s="333"/>
      <c r="B80" s="487">
        <v>4</v>
      </c>
      <c r="C80" s="488" t="s">
        <v>737</v>
      </c>
      <c r="D80" s="353" t="str">
        <f ca="1">IF(ISERROR(OFFSET('HARGA SATUAN'!$D$6,MATCH(RAB!C80,'HARGA SATUAN'!$C$7:$C$1492,0),0)),"",OFFSET('HARGA SATUAN'!$D$6,MATCH(RAB!C80,'HARGA SATUAN'!$C$7:$C$1492,0),0))</f>
        <v>JASA</v>
      </c>
      <c r="E80" s="354" t="str">
        <f ca="1">IF(B80="+","Unit",IF(ISERROR(OFFSET('HARGA SATUAN'!$E$6,MATCH(RAB!C80,'HARGA SATUAN'!$C$7:$C$1492,0),0)),"",OFFSET('HARGA SATUAN'!$E$6,MATCH(RAB!C80,'HARGA SATUAN'!$C$7:$C$1492,0),0)))</f>
        <v>Unit</v>
      </c>
      <c r="F80" s="361">
        <v>1</v>
      </c>
      <c r="G80" s="355">
        <f ca="1">IF(ISERROR(OFFSET('HARGA SATUAN'!$I$6,MATCH(RAB!C80,'HARGA SATUAN'!$C$7:$C$1492,0),0)),0,OFFSET('HARGA SATUAN'!$I$6,MATCH(RAB!C80,'HARGA SATUAN'!$C$7:$C$1492,0),0))</f>
        <v>21200</v>
      </c>
      <c r="H80" s="356">
        <f t="shared" ca="1" si="20"/>
        <v>0</v>
      </c>
      <c r="I80" s="356">
        <f t="shared" ca="1" si="21"/>
        <v>0</v>
      </c>
      <c r="J80" s="356">
        <f t="shared" ca="1" si="22"/>
        <v>21200</v>
      </c>
      <c r="K80" s="357">
        <f t="shared" ca="1" si="23"/>
        <v>21200</v>
      </c>
      <c r="L80" s="362"/>
      <c r="M80" s="362"/>
      <c r="N80" s="362"/>
      <c r="O80" s="358"/>
      <c r="P80" s="358"/>
      <c r="Q80" s="341"/>
      <c r="R80" s="333"/>
      <c r="S80" s="359"/>
      <c r="T80" s="338"/>
      <c r="U80" s="338"/>
      <c r="V80" s="338"/>
    </row>
    <row r="81" spans="1:22" s="363" customFormat="1">
      <c r="A81" s="333"/>
      <c r="B81" s="487"/>
      <c r="C81" s="488"/>
      <c r="D81" s="353" t="str">
        <f ca="1">IF(ISERROR(OFFSET('HARGA SATUAN'!$D$6,MATCH(RAB!C81,'HARGA SATUAN'!$C$7:$C$1492,0),0)),"",OFFSET('HARGA SATUAN'!$D$6,MATCH(RAB!C81,'HARGA SATUAN'!$C$7:$C$1492,0),0))</f>
        <v/>
      </c>
      <c r="E81" s="354" t="str">
        <f ca="1">IF(B81="+","Unit",IF(ISERROR(OFFSET('HARGA SATUAN'!$E$6,MATCH(RAB!C81,'HARGA SATUAN'!$C$7:$C$1492,0),0)),"",OFFSET('HARGA SATUAN'!$E$6,MATCH(RAB!C81,'HARGA SATUAN'!$C$7:$C$1492,0),0)))</f>
        <v/>
      </c>
      <c r="F81" s="361"/>
      <c r="G81" s="355">
        <f ca="1">IF(ISERROR(OFFSET('HARGA SATUAN'!$I$6,MATCH(RAB!C81,'HARGA SATUAN'!$C$7:$C$1492,0),0)),0,OFFSET('HARGA SATUAN'!$I$6,MATCH(RAB!C81,'HARGA SATUAN'!$C$7:$C$1492,0),0))</f>
        <v>0</v>
      </c>
      <c r="H81" s="356">
        <f t="shared" ca="1" si="20"/>
        <v>0</v>
      </c>
      <c r="I81" s="356">
        <f t="shared" ca="1" si="21"/>
        <v>0</v>
      </c>
      <c r="J81" s="356">
        <f t="shared" ca="1" si="22"/>
        <v>0</v>
      </c>
      <c r="K81" s="357">
        <f t="shared" ca="1" si="23"/>
        <v>0</v>
      </c>
      <c r="L81" s="362"/>
      <c r="M81" s="362"/>
      <c r="N81" s="362"/>
      <c r="O81" s="358"/>
      <c r="P81" s="358"/>
      <c r="Q81" s="341"/>
      <c r="R81" s="333"/>
      <c r="S81" s="359"/>
      <c r="T81" s="338"/>
      <c r="U81" s="338"/>
      <c r="V81" s="338"/>
    </row>
    <row r="82" spans="1:22" s="363" customFormat="1">
      <c r="A82" s="333"/>
      <c r="B82" s="487" t="s">
        <v>1034</v>
      </c>
      <c r="C82" s="489" t="s">
        <v>1606</v>
      </c>
      <c r="D82" s="353" t="str">
        <f ca="1">IF(ISERROR(OFFSET('HARGA SATUAN'!$D$6,MATCH(RAB!C82,'HARGA SATUAN'!$C$7:$C$1492,0),0)),"",OFFSET('HARGA SATUAN'!$D$6,MATCH(RAB!C82,'HARGA SATUAN'!$C$7:$C$1492,0),0))</f>
        <v/>
      </c>
      <c r="E82" s="354" t="str">
        <f ca="1">IF(B82="+","Unit",IF(ISERROR(OFFSET('HARGA SATUAN'!$E$6,MATCH(RAB!C82,'HARGA SATUAN'!$C$7:$C$1492,0),0)),"",OFFSET('HARGA SATUAN'!$E$6,MATCH(RAB!C82,'HARGA SATUAN'!$C$7:$C$1492,0),0)))</f>
        <v>Unit</v>
      </c>
      <c r="F82" s="490">
        <v>1</v>
      </c>
      <c r="G82" s="355">
        <f ca="1">IF(ISERROR(OFFSET('HARGA SATUAN'!$I$6,MATCH(RAB!C82,'HARGA SATUAN'!$C$7:$C$1492,0),0)),0,OFFSET('HARGA SATUAN'!$I$6,MATCH(RAB!C82,'HARGA SATUAN'!$C$7:$C$1492,0),0))</f>
        <v>0</v>
      </c>
      <c r="H82" s="356">
        <f t="shared" ref="H82:H96" ca="1" si="24">IF(OR(D82="MDU",D82="MDU-KD"),(IF($O$3="RAB NON MDU","PLN KD",G82*F82)),0)</f>
        <v>0</v>
      </c>
      <c r="I82" s="356">
        <f t="shared" ref="I82:I96" ca="1" si="25">IF(D82="HDW",G82*F82,0)</f>
        <v>0</v>
      </c>
      <c r="J82" s="356">
        <f t="shared" ref="J82:J96" ca="1" si="26">IF(D82="JASA",G82*F82,0)</f>
        <v>0</v>
      </c>
      <c r="K82" s="357">
        <f t="shared" ref="K82:K96" ca="1" si="27">SUM(H82:J82)</f>
        <v>0</v>
      </c>
      <c r="L82" s="362"/>
      <c r="M82" s="362"/>
      <c r="N82" s="362"/>
      <c r="O82" s="358"/>
      <c r="P82" s="358"/>
      <c r="Q82" s="341"/>
      <c r="R82" s="333"/>
      <c r="S82" s="359"/>
      <c r="T82" s="338"/>
      <c r="U82" s="338"/>
      <c r="V82" s="338"/>
    </row>
    <row r="83" spans="1:22" s="363" customFormat="1">
      <c r="A83" s="333"/>
      <c r="B83" s="487">
        <v>1</v>
      </c>
      <c r="C83" s="489" t="s">
        <v>115</v>
      </c>
      <c r="D83" s="353" t="str">
        <f ca="1">IF(ISERROR(OFFSET('HARGA SATUAN'!$D$6,MATCH(RAB!C83,'HARGA SATUAN'!$C$7:$C$1492,0),0)),"",OFFSET('HARGA SATUAN'!$D$6,MATCH(RAB!C83,'HARGA SATUAN'!$C$7:$C$1492,0),0))</f>
        <v>HDW</v>
      </c>
      <c r="E83" s="354" t="str">
        <f ca="1">IF(B83="+","Unit",IF(ISERROR(OFFSET('HARGA SATUAN'!$E$6,MATCH(RAB!C83,'HARGA SATUAN'!$C$7:$C$1492,0),0)),"",OFFSET('HARGA SATUAN'!$E$6,MATCH(RAB!C83,'HARGA SATUAN'!$C$7:$C$1492,0),0)))</f>
        <v>Set</v>
      </c>
      <c r="F83" s="490">
        <f>F82*1</f>
        <v>1</v>
      </c>
      <c r="G83" s="355">
        <f ca="1">IF(ISERROR(OFFSET('HARGA SATUAN'!$I$6,MATCH(RAB!C83,'HARGA SATUAN'!$C$7:$C$1492,0),0)),0,OFFSET('HARGA SATUAN'!$I$6,MATCH(RAB!C83,'HARGA SATUAN'!$C$7:$C$1492,0),0))</f>
        <v>11500</v>
      </c>
      <c r="H83" s="356">
        <f t="shared" ca="1" si="24"/>
        <v>0</v>
      </c>
      <c r="I83" s="356">
        <f t="shared" ca="1" si="25"/>
        <v>11500</v>
      </c>
      <c r="J83" s="356">
        <f t="shared" ca="1" si="26"/>
        <v>0</v>
      </c>
      <c r="K83" s="357">
        <f t="shared" ca="1" si="27"/>
        <v>11500</v>
      </c>
      <c r="L83" s="362"/>
      <c r="M83" s="362"/>
      <c r="N83" s="362"/>
      <c r="O83" s="358"/>
      <c r="P83" s="358"/>
      <c r="Q83" s="341"/>
      <c r="R83" s="333"/>
      <c r="S83" s="359"/>
      <c r="T83" s="338"/>
      <c r="U83" s="338"/>
      <c r="V83" s="338"/>
    </row>
    <row r="84" spans="1:22" s="363" customFormat="1">
      <c r="A84" s="333"/>
      <c r="B84" s="487">
        <v>2</v>
      </c>
      <c r="C84" s="489" t="s">
        <v>145</v>
      </c>
      <c r="D84" s="353" t="str">
        <f ca="1">IF(ISERROR(OFFSET('HARGA SATUAN'!$D$6,MATCH(RAB!C84,'HARGA SATUAN'!$C$7:$C$1492,0),0)),"",OFFSET('HARGA SATUAN'!$D$6,MATCH(RAB!C84,'HARGA SATUAN'!$C$7:$C$1492,0),0))</f>
        <v>HDW</v>
      </c>
      <c r="E84" s="354" t="str">
        <f ca="1">IF(B84="+","Unit",IF(ISERROR(OFFSET('HARGA SATUAN'!$E$6,MATCH(RAB!C84,'HARGA SATUAN'!$C$7:$C$1492,0),0)),"",OFFSET('HARGA SATUAN'!$E$6,MATCH(RAB!C84,'HARGA SATUAN'!$C$7:$C$1492,0),0)))</f>
        <v>Set</v>
      </c>
      <c r="F84" s="490">
        <f>F82*1</f>
        <v>1</v>
      </c>
      <c r="G84" s="355">
        <f ca="1">IF(ISERROR(OFFSET('HARGA SATUAN'!$I$6,MATCH(RAB!C84,'HARGA SATUAN'!$C$7:$C$1492,0),0)),0,OFFSET('HARGA SATUAN'!$I$6,MATCH(RAB!C84,'HARGA SATUAN'!$C$7:$C$1492,0),0))</f>
        <v>6200</v>
      </c>
      <c r="H84" s="356">
        <f t="shared" ca="1" si="24"/>
        <v>0</v>
      </c>
      <c r="I84" s="356">
        <f t="shared" ca="1" si="25"/>
        <v>6200</v>
      </c>
      <c r="J84" s="356">
        <f t="shared" ca="1" si="26"/>
        <v>0</v>
      </c>
      <c r="K84" s="357">
        <f t="shared" ca="1" si="27"/>
        <v>6200</v>
      </c>
      <c r="L84" s="362"/>
      <c r="M84" s="362"/>
      <c r="N84" s="362"/>
      <c r="O84" s="358"/>
      <c r="P84" s="358"/>
      <c r="Q84" s="341"/>
      <c r="R84" s="333"/>
      <c r="S84" s="359"/>
      <c r="T84" s="338"/>
      <c r="U84" s="338"/>
      <c r="V84" s="338"/>
    </row>
    <row r="85" spans="1:22" s="363" customFormat="1">
      <c r="A85" s="333"/>
      <c r="B85" s="487">
        <v>3</v>
      </c>
      <c r="C85" s="489" t="s">
        <v>586</v>
      </c>
      <c r="D85" s="353" t="str">
        <f ca="1">IF(ISERROR(OFFSET('HARGA SATUAN'!$D$6,MATCH(RAB!C85,'HARGA SATUAN'!$C$7:$C$1492,0),0)),"",OFFSET('HARGA SATUAN'!$D$6,MATCH(RAB!C85,'HARGA SATUAN'!$C$7:$C$1492,0),0))</f>
        <v>HDW</v>
      </c>
      <c r="E85" s="354" t="str">
        <f ca="1">IF(B85="+","Unit",IF(ISERROR(OFFSET('HARGA SATUAN'!$E$6,MATCH(RAB!C85,'HARGA SATUAN'!$C$7:$C$1492,0),0)),"",OFFSET('HARGA SATUAN'!$E$6,MATCH(RAB!C85,'HARGA SATUAN'!$C$7:$C$1492,0),0)))</f>
        <v>Btg</v>
      </c>
      <c r="F85" s="490">
        <f>F82*1</f>
        <v>1</v>
      </c>
      <c r="G85" s="355">
        <f ca="1">IF(ISERROR(OFFSET('HARGA SATUAN'!$I$6,MATCH(RAB!C85,'HARGA SATUAN'!$C$7:$C$1492,0),0)),0,OFFSET('HARGA SATUAN'!$I$6,MATCH(RAB!C85,'HARGA SATUAN'!$C$7:$C$1492,0),0))</f>
        <v>45796</v>
      </c>
      <c r="H85" s="356">
        <f t="shared" ca="1" si="24"/>
        <v>0</v>
      </c>
      <c r="I85" s="356">
        <f t="shared" ca="1" si="25"/>
        <v>45796</v>
      </c>
      <c r="J85" s="356">
        <f t="shared" ca="1" si="26"/>
        <v>0</v>
      </c>
      <c r="K85" s="357">
        <f t="shared" ca="1" si="27"/>
        <v>45796</v>
      </c>
      <c r="L85" s="362"/>
      <c r="M85" s="362"/>
      <c r="N85" s="362"/>
      <c r="O85" s="358"/>
      <c r="P85" s="358"/>
      <c r="Q85" s="341"/>
      <c r="R85" s="333"/>
      <c r="S85" s="359"/>
      <c r="T85" s="338"/>
      <c r="U85" s="338"/>
      <c r="V85" s="338"/>
    </row>
    <row r="86" spans="1:22" s="363" customFormat="1">
      <c r="A86" s="333"/>
      <c r="B86" s="487">
        <v>4</v>
      </c>
      <c r="C86" s="489" t="s">
        <v>118</v>
      </c>
      <c r="D86" s="353" t="str">
        <f ca="1">IF(ISERROR(OFFSET('HARGA SATUAN'!$D$6,MATCH(RAB!C86,'HARGA SATUAN'!$C$7:$C$1492,0),0)),"",OFFSET('HARGA SATUAN'!$D$6,MATCH(RAB!C86,'HARGA SATUAN'!$C$7:$C$1492,0),0))</f>
        <v>HDW</v>
      </c>
      <c r="E86" s="354" t="str">
        <f ca="1">IF(B86="+","Unit",IF(ISERROR(OFFSET('HARGA SATUAN'!$E$6,MATCH(RAB!C86,'HARGA SATUAN'!$C$7:$C$1492,0),0)),"",OFFSET('HARGA SATUAN'!$E$6,MATCH(RAB!C86,'HARGA SATUAN'!$C$7:$C$1492,0),0)))</f>
        <v>Set</v>
      </c>
      <c r="F86" s="490">
        <f>F82*1</f>
        <v>1</v>
      </c>
      <c r="G86" s="355">
        <f ca="1">IF(ISERROR(OFFSET('HARGA SATUAN'!$I$6,MATCH(RAB!C86,'HARGA SATUAN'!$C$7:$C$1492,0),0)),0,OFFSET('HARGA SATUAN'!$I$6,MATCH(RAB!C86,'HARGA SATUAN'!$C$7:$C$1492,0),0))</f>
        <v>5300</v>
      </c>
      <c r="H86" s="356">
        <f t="shared" ca="1" si="24"/>
        <v>0</v>
      </c>
      <c r="I86" s="356">
        <f t="shared" ca="1" si="25"/>
        <v>5300</v>
      </c>
      <c r="J86" s="356">
        <f t="shared" ca="1" si="26"/>
        <v>0</v>
      </c>
      <c r="K86" s="357">
        <f t="shared" ca="1" si="27"/>
        <v>5300</v>
      </c>
      <c r="L86" s="362"/>
      <c r="M86" s="362"/>
      <c r="N86" s="362"/>
      <c r="O86" s="358"/>
      <c r="P86" s="358"/>
      <c r="Q86" s="341"/>
      <c r="R86" s="333"/>
      <c r="S86" s="359"/>
      <c r="T86" s="338"/>
      <c r="U86" s="338"/>
      <c r="V86" s="338"/>
    </row>
    <row r="87" spans="1:22" s="363" customFormat="1">
      <c r="A87" s="333"/>
      <c r="B87" s="487">
        <v>5</v>
      </c>
      <c r="C87" s="489" t="s">
        <v>117</v>
      </c>
      <c r="D87" s="353" t="str">
        <f ca="1">IF(ISERROR(OFFSET('HARGA SATUAN'!$D$6,MATCH(RAB!C87,'HARGA SATUAN'!$C$7:$C$1492,0),0)),"",OFFSET('HARGA SATUAN'!$D$6,MATCH(RAB!C87,'HARGA SATUAN'!$C$7:$C$1492,0),0))</f>
        <v>HDW</v>
      </c>
      <c r="E87" s="354" t="str">
        <f ca="1">IF(B87="+","Unit",IF(ISERROR(OFFSET('HARGA SATUAN'!$E$6,MATCH(RAB!C87,'HARGA SATUAN'!$C$7:$C$1492,0),0)),"",OFFSET('HARGA SATUAN'!$E$6,MATCH(RAB!C87,'HARGA SATUAN'!$C$7:$C$1492,0),0)))</f>
        <v>Bh</v>
      </c>
      <c r="F87" s="490">
        <f>F82*1</f>
        <v>1</v>
      </c>
      <c r="G87" s="355">
        <f ca="1">IF(ISERROR(OFFSET('HARGA SATUAN'!$I$6,MATCH(RAB!C87,'HARGA SATUAN'!$C$7:$C$1492,0),0)),0,OFFSET('HARGA SATUAN'!$I$6,MATCH(RAB!C87,'HARGA SATUAN'!$C$7:$C$1492,0),0))</f>
        <v>58600</v>
      </c>
      <c r="H87" s="356">
        <f t="shared" ca="1" si="24"/>
        <v>0</v>
      </c>
      <c r="I87" s="356">
        <f t="shared" ca="1" si="25"/>
        <v>58600</v>
      </c>
      <c r="J87" s="356">
        <f t="shared" ca="1" si="26"/>
        <v>0</v>
      </c>
      <c r="K87" s="357">
        <f t="shared" ca="1" si="27"/>
        <v>58600</v>
      </c>
      <c r="L87" s="362"/>
      <c r="M87" s="362"/>
      <c r="N87" s="362"/>
      <c r="O87" s="358"/>
      <c r="P87" s="358"/>
      <c r="Q87" s="341"/>
      <c r="R87" s="333"/>
      <c r="S87" s="359"/>
      <c r="T87" s="338"/>
      <c r="U87" s="338"/>
      <c r="V87" s="338"/>
    </row>
    <row r="88" spans="1:22" s="363" customFormat="1">
      <c r="A88" s="333"/>
      <c r="B88" s="487">
        <v>6</v>
      </c>
      <c r="C88" s="109" t="s">
        <v>1153</v>
      </c>
      <c r="D88" s="353" t="str">
        <f ca="1">IF(ISERROR(OFFSET('HARGA SATUAN'!$D$6,MATCH(RAB!C88,'HARGA SATUAN'!$C$7:$C$1492,0),0)),"",OFFSET('HARGA SATUAN'!$D$6,MATCH(RAB!C88,'HARGA SATUAN'!$C$7:$C$1492,0),0))</f>
        <v>HDW</v>
      </c>
      <c r="E88" s="354" t="str">
        <f ca="1">IF(B88="+","Unit",IF(ISERROR(OFFSET('HARGA SATUAN'!$E$6,MATCH(RAB!C88,'HARGA SATUAN'!$C$7:$C$1492,0),0)),"",OFFSET('HARGA SATUAN'!$E$6,MATCH(RAB!C88,'HARGA SATUAN'!$C$7:$C$1492,0),0)))</f>
        <v>Set</v>
      </c>
      <c r="F88" s="490">
        <f>F82*2</f>
        <v>2</v>
      </c>
      <c r="G88" s="355">
        <f ca="1">IF(ISERROR(OFFSET('HARGA SATUAN'!$I$6,MATCH(RAB!C88,'HARGA SATUAN'!$C$7:$C$1492,0),0)),0,OFFSET('HARGA SATUAN'!$I$6,MATCH(RAB!C88,'HARGA SATUAN'!$C$7:$C$1492,0),0))</f>
        <v>2900</v>
      </c>
      <c r="H88" s="356">
        <f t="shared" ca="1" si="24"/>
        <v>0</v>
      </c>
      <c r="I88" s="356">
        <f t="shared" ca="1" si="25"/>
        <v>5800</v>
      </c>
      <c r="J88" s="356">
        <f t="shared" ca="1" si="26"/>
        <v>0</v>
      </c>
      <c r="K88" s="357">
        <f t="shared" ca="1" si="27"/>
        <v>5800</v>
      </c>
      <c r="L88" s="362"/>
      <c r="M88" s="362"/>
      <c r="N88" s="362"/>
      <c r="O88" s="358"/>
      <c r="P88" s="358"/>
      <c r="Q88" s="341"/>
      <c r="R88" s="333"/>
      <c r="S88" s="359"/>
      <c r="T88" s="338"/>
      <c r="U88" s="338"/>
      <c r="V88" s="338"/>
    </row>
    <row r="89" spans="1:22" s="363" customFormat="1">
      <c r="A89" s="333"/>
      <c r="B89" s="487">
        <v>7</v>
      </c>
      <c r="C89" s="489" t="s">
        <v>119</v>
      </c>
      <c r="D89" s="353" t="str">
        <f ca="1">IF(ISERROR(OFFSET('HARGA SATUAN'!$D$6,MATCH(RAB!C89,'HARGA SATUAN'!$C$7:$C$1492,0),0)),"",OFFSET('HARGA SATUAN'!$D$6,MATCH(RAB!C89,'HARGA SATUAN'!$C$7:$C$1492,0),0))</f>
        <v>HDW</v>
      </c>
      <c r="E89" s="354" t="str">
        <f ca="1">IF(B89="+","Unit",IF(ISERROR(OFFSET('HARGA SATUAN'!$E$6,MATCH(RAB!C89,'HARGA SATUAN'!$C$7:$C$1492,0),0)),"",OFFSET('HARGA SATUAN'!$E$6,MATCH(RAB!C89,'HARGA SATUAN'!$C$7:$C$1492,0),0)))</f>
        <v>Set</v>
      </c>
      <c r="F89" s="490">
        <f>F82*4</f>
        <v>4</v>
      </c>
      <c r="G89" s="355">
        <f ca="1">IF(ISERROR(OFFSET('HARGA SATUAN'!$I$6,MATCH(RAB!C89,'HARGA SATUAN'!$C$7:$C$1492,0),0)),0,OFFSET('HARGA SATUAN'!$I$6,MATCH(RAB!C89,'HARGA SATUAN'!$C$7:$C$1492,0),0))</f>
        <v>8900</v>
      </c>
      <c r="H89" s="356">
        <f t="shared" ca="1" si="24"/>
        <v>0</v>
      </c>
      <c r="I89" s="356">
        <f t="shared" ca="1" si="25"/>
        <v>35600</v>
      </c>
      <c r="J89" s="356">
        <f t="shared" ca="1" si="26"/>
        <v>0</v>
      </c>
      <c r="K89" s="357">
        <f t="shared" ca="1" si="27"/>
        <v>35600</v>
      </c>
      <c r="L89" s="362"/>
      <c r="M89" s="362"/>
      <c r="N89" s="362"/>
      <c r="O89" s="358"/>
      <c r="P89" s="358"/>
      <c r="Q89" s="341"/>
      <c r="R89" s="333"/>
      <c r="S89" s="359"/>
      <c r="T89" s="338"/>
      <c r="U89" s="338"/>
      <c r="V89" s="338"/>
    </row>
    <row r="90" spans="1:22" s="363" customFormat="1">
      <c r="A90" s="333"/>
      <c r="B90" s="487"/>
      <c r="C90" s="488"/>
      <c r="D90" s="353" t="str">
        <f ca="1">IF(ISERROR(OFFSET('HARGA SATUAN'!$D$6,MATCH(RAB!C90,'HARGA SATUAN'!$C$7:$C$1492,0),0)),"",OFFSET('HARGA SATUAN'!$D$6,MATCH(RAB!C90,'HARGA SATUAN'!$C$7:$C$1492,0),0))</f>
        <v/>
      </c>
      <c r="E90" s="354" t="str">
        <f ca="1">IF(B90="+","Unit",IF(ISERROR(OFFSET('HARGA SATUAN'!$E$6,MATCH(RAB!C90,'HARGA SATUAN'!$C$7:$C$1492,0),0)),"",OFFSET('HARGA SATUAN'!$E$6,MATCH(RAB!C90,'HARGA SATUAN'!$C$7:$C$1492,0),0)))</f>
        <v/>
      </c>
      <c r="F90" s="479"/>
      <c r="G90" s="355">
        <f ca="1">IF(ISERROR(OFFSET('HARGA SATUAN'!$I$6,MATCH(RAB!C90,'HARGA SATUAN'!$C$7:$C$1492,0),0)),0,OFFSET('HARGA SATUAN'!$I$6,MATCH(RAB!C90,'HARGA SATUAN'!$C$7:$C$1492,0),0))</f>
        <v>0</v>
      </c>
      <c r="H90" s="356">
        <f t="shared" ca="1" si="24"/>
        <v>0</v>
      </c>
      <c r="I90" s="356">
        <f t="shared" ca="1" si="25"/>
        <v>0</v>
      </c>
      <c r="J90" s="356">
        <f t="shared" ca="1" si="26"/>
        <v>0</v>
      </c>
      <c r="K90" s="357">
        <f t="shared" ca="1" si="27"/>
        <v>0</v>
      </c>
      <c r="L90" s="362"/>
      <c r="M90" s="362"/>
      <c r="N90" s="362"/>
      <c r="O90" s="358"/>
      <c r="P90" s="358"/>
      <c r="Q90" s="341"/>
      <c r="R90" s="333"/>
      <c r="S90" s="359"/>
      <c r="T90" s="338"/>
      <c r="U90" s="338"/>
      <c r="V90" s="338"/>
    </row>
    <row r="91" spans="1:22" s="363" customFormat="1">
      <c r="A91" s="333"/>
      <c r="B91" s="480" t="s">
        <v>1034</v>
      </c>
      <c r="C91" s="481" t="s">
        <v>1613</v>
      </c>
      <c r="D91" s="353" t="str">
        <f ca="1">IF(ISERROR(OFFSET('HARGA SATUAN'!$D$6,MATCH(RAB!C91,'HARGA SATUAN'!$C$7:$C$1492,0),0)),"",OFFSET('HARGA SATUAN'!$D$6,MATCH(RAB!C91,'HARGA SATUAN'!$C$7:$C$1492,0),0))</f>
        <v/>
      </c>
      <c r="E91" s="354" t="str">
        <f ca="1">IF(B91="+","Unit",IF(ISERROR(OFFSET('HARGA SATUAN'!$E$6,MATCH(RAB!C91,'HARGA SATUAN'!$C$7:$C$1492,0),0)),"",OFFSET('HARGA SATUAN'!$E$6,MATCH(RAB!C91,'HARGA SATUAN'!$C$7:$C$1492,0),0)))</f>
        <v>Unit</v>
      </c>
      <c r="F91" s="500">
        <v>1</v>
      </c>
      <c r="G91" s="355">
        <f ca="1">IF(ISERROR(OFFSET('HARGA SATUAN'!$I$6,MATCH(RAB!C91,'HARGA SATUAN'!$C$7:$C$1492,0),0)),0,OFFSET('HARGA SATUAN'!$I$6,MATCH(RAB!C91,'HARGA SATUAN'!$C$7:$C$1492,0),0))</f>
        <v>0</v>
      </c>
      <c r="H91" s="356">
        <f t="shared" ca="1" si="24"/>
        <v>0</v>
      </c>
      <c r="I91" s="356">
        <f t="shared" ca="1" si="25"/>
        <v>0</v>
      </c>
      <c r="J91" s="356">
        <f t="shared" ca="1" si="26"/>
        <v>0</v>
      </c>
      <c r="K91" s="357">
        <f t="shared" ca="1" si="27"/>
        <v>0</v>
      </c>
      <c r="L91" s="362"/>
      <c r="M91" s="362"/>
      <c r="N91" s="362"/>
      <c r="O91" s="358"/>
      <c r="P91" s="358"/>
      <c r="Q91" s="341"/>
      <c r="R91" s="333"/>
      <c r="S91" s="359"/>
      <c r="T91" s="338"/>
      <c r="U91" s="338"/>
      <c r="V91" s="338"/>
    </row>
    <row r="92" spans="1:22" s="363" customFormat="1" ht="30">
      <c r="A92" s="333"/>
      <c r="B92" s="492">
        <v>1</v>
      </c>
      <c r="C92" s="109" t="s">
        <v>1194</v>
      </c>
      <c r="D92" s="353" t="str">
        <f ca="1">IF(ISERROR(OFFSET('HARGA SATUAN'!$D$6,MATCH(RAB!C92,'HARGA SATUAN'!$C$7:$C$1492,0),0)),"",OFFSET('HARGA SATUAN'!$D$6,MATCH(RAB!C92,'HARGA SATUAN'!$C$7:$C$1492,0),0))</f>
        <v>MDU-KD</v>
      </c>
      <c r="E92" s="354" t="str">
        <f ca="1">IF(B92="+","Unit",IF(ISERROR(OFFSET('HARGA SATUAN'!$E$6,MATCH(RAB!C92,'HARGA SATUAN'!$C$7:$C$1492,0),0)),"",OFFSET('HARGA SATUAN'!$E$6,MATCH(RAB!C92,'HARGA SATUAN'!$C$7:$C$1492,0),0)))</f>
        <v>Bh</v>
      </c>
      <c r="F92" s="500">
        <f>F91*1</f>
        <v>1</v>
      </c>
      <c r="G92" s="355">
        <f ca="1">IF(ISERROR(OFFSET('HARGA SATUAN'!$I$6,MATCH(RAB!C92,'HARGA SATUAN'!$C$7:$C$1492,0),0)),0,OFFSET('HARGA SATUAN'!$I$6,MATCH(RAB!C92,'HARGA SATUAN'!$C$7:$C$1492,0),0))</f>
        <v>1504200</v>
      </c>
      <c r="H92" s="356">
        <f t="shared" ca="1" si="24"/>
        <v>1504200</v>
      </c>
      <c r="I92" s="356">
        <f t="shared" ca="1" si="25"/>
        <v>0</v>
      </c>
      <c r="J92" s="356">
        <f t="shared" ca="1" si="26"/>
        <v>0</v>
      </c>
      <c r="K92" s="357">
        <f t="shared" ca="1" si="27"/>
        <v>1504200</v>
      </c>
      <c r="L92" s="362"/>
      <c r="M92" s="362"/>
      <c r="N92" s="362"/>
      <c r="O92" s="358"/>
      <c r="P92" s="358"/>
      <c r="Q92" s="341"/>
      <c r="R92" s="333"/>
      <c r="S92" s="359"/>
      <c r="T92" s="338"/>
      <c r="U92" s="338"/>
      <c r="V92" s="338"/>
    </row>
    <row r="93" spans="1:22" s="363" customFormat="1">
      <c r="A93" s="333"/>
      <c r="B93" s="492">
        <v>2</v>
      </c>
      <c r="C93" s="499" t="s">
        <v>514</v>
      </c>
      <c r="D93" s="353" t="str">
        <f ca="1">IF(ISERROR(OFFSET('HARGA SATUAN'!$D$6,MATCH(RAB!C93,'HARGA SATUAN'!$C$7:$C$1492,0),0)),"",OFFSET('HARGA SATUAN'!$D$6,MATCH(RAB!C93,'HARGA SATUAN'!$C$7:$C$1492,0),0))</f>
        <v>MDU-KD</v>
      </c>
      <c r="E93" s="354" t="str">
        <f ca="1">IF(B93="+","Unit",IF(ISERROR(OFFSET('HARGA SATUAN'!$E$6,MATCH(RAB!C93,'HARGA SATUAN'!$C$7:$C$1492,0),0)),"",OFFSET('HARGA SATUAN'!$E$6,MATCH(RAB!C93,'HARGA SATUAN'!$C$7:$C$1492,0),0)))</f>
        <v>Unit</v>
      </c>
      <c r="F93" s="500">
        <f>F91*1</f>
        <v>1</v>
      </c>
      <c r="G93" s="355">
        <f ca="1">IF(ISERROR(OFFSET('HARGA SATUAN'!$I$6,MATCH(RAB!C93,'HARGA SATUAN'!$C$7:$C$1492,0),0)),0,OFFSET('HARGA SATUAN'!$I$6,MATCH(RAB!C93,'HARGA SATUAN'!$C$7:$C$1492,0),0))</f>
        <v>13644300</v>
      </c>
      <c r="H93" s="356">
        <f t="shared" ca="1" si="24"/>
        <v>13644300</v>
      </c>
      <c r="I93" s="356">
        <f t="shared" ca="1" si="25"/>
        <v>0</v>
      </c>
      <c r="J93" s="356">
        <f t="shared" ca="1" si="26"/>
        <v>0</v>
      </c>
      <c r="K93" s="357">
        <f t="shared" ca="1" si="27"/>
        <v>13644300</v>
      </c>
      <c r="L93" s="362"/>
      <c r="M93" s="362"/>
      <c r="N93" s="362"/>
      <c r="O93" s="358"/>
      <c r="P93" s="358"/>
      <c r="Q93" s="341"/>
      <c r="R93" s="333"/>
      <c r="S93" s="359"/>
      <c r="T93" s="338"/>
      <c r="U93" s="338"/>
      <c r="V93" s="338"/>
    </row>
    <row r="94" spans="1:22" s="363" customFormat="1">
      <c r="A94" s="333"/>
      <c r="B94" s="492">
        <v>3</v>
      </c>
      <c r="C94" s="499" t="s">
        <v>1140</v>
      </c>
      <c r="D94" s="353" t="str">
        <f ca="1">IF(ISERROR(OFFSET('HARGA SATUAN'!$D$6,MATCH(RAB!C94,'HARGA SATUAN'!$C$7:$C$1492,0),0)),"",OFFSET('HARGA SATUAN'!$D$6,MATCH(RAB!C94,'HARGA SATUAN'!$C$7:$C$1492,0),0))</f>
        <v>HDW</v>
      </c>
      <c r="E94" s="354" t="str">
        <f ca="1">IF(B94="+","Unit",IF(ISERROR(OFFSET('HARGA SATUAN'!$E$6,MATCH(RAB!C94,'HARGA SATUAN'!$C$7:$C$1492,0),0)),"",OFFSET('HARGA SATUAN'!$E$6,MATCH(RAB!C94,'HARGA SATUAN'!$C$7:$C$1492,0),0)))</f>
        <v>Unit</v>
      </c>
      <c r="F94" s="500">
        <f>F91*1</f>
        <v>1</v>
      </c>
      <c r="G94" s="355">
        <f ca="1">IF(ISERROR(OFFSET('HARGA SATUAN'!$I$6,MATCH(RAB!C94,'HARGA SATUAN'!$C$7:$C$1492,0),0)),0,OFFSET('HARGA SATUAN'!$I$6,MATCH(RAB!C94,'HARGA SATUAN'!$C$7:$C$1492,0),0))</f>
        <v>1113900</v>
      </c>
      <c r="H94" s="356">
        <f t="shared" ca="1" si="24"/>
        <v>0</v>
      </c>
      <c r="I94" s="356">
        <f t="shared" ca="1" si="25"/>
        <v>1113900</v>
      </c>
      <c r="J94" s="356">
        <f t="shared" ca="1" si="26"/>
        <v>0</v>
      </c>
      <c r="K94" s="357">
        <f t="shared" ca="1" si="27"/>
        <v>1113900</v>
      </c>
      <c r="L94" s="362"/>
      <c r="M94" s="362"/>
      <c r="N94" s="362"/>
      <c r="O94" s="358"/>
      <c r="P94" s="358"/>
      <c r="Q94" s="341"/>
      <c r="R94" s="333"/>
      <c r="S94" s="359"/>
      <c r="T94" s="338"/>
      <c r="U94" s="338"/>
      <c r="V94" s="338"/>
    </row>
    <row r="95" spans="1:22" s="363" customFormat="1">
      <c r="A95" s="333"/>
      <c r="B95" s="492">
        <v>4</v>
      </c>
      <c r="C95" s="109" t="s">
        <v>1457</v>
      </c>
      <c r="D95" s="353" t="str">
        <f ca="1">IF(ISERROR(OFFSET('HARGA SATUAN'!$D$6,MATCH(RAB!C95,'HARGA SATUAN'!$C$7:$C$1492,0),0)),"",OFFSET('HARGA SATUAN'!$D$6,MATCH(RAB!C95,'HARGA SATUAN'!$C$7:$C$1492,0),0))</f>
        <v>MDU-KD</v>
      </c>
      <c r="E95" s="354" t="str">
        <f ca="1">IF(B95="+","Unit",IF(ISERROR(OFFSET('HARGA SATUAN'!$E$6,MATCH(RAB!C95,'HARGA SATUAN'!$C$7:$C$1492,0),0)),"",OFFSET('HARGA SATUAN'!$E$6,MATCH(RAB!C95,'HARGA SATUAN'!$C$7:$C$1492,0),0)))</f>
        <v>Mtr</v>
      </c>
      <c r="F95" s="500">
        <v>40</v>
      </c>
      <c r="G95" s="355">
        <f ca="1">IF(ISERROR(OFFSET('HARGA SATUAN'!$I$6,MATCH(RAB!C95,'HARGA SATUAN'!$C$7:$C$1492,0),0)),0,OFFSET('HARGA SATUAN'!$I$6,MATCH(RAB!C95,'HARGA SATUAN'!$C$7:$C$1492,0),0))</f>
        <v>54500</v>
      </c>
      <c r="H95" s="356">
        <f t="shared" ca="1" si="24"/>
        <v>2180000</v>
      </c>
      <c r="I95" s="356">
        <f t="shared" ca="1" si="25"/>
        <v>0</v>
      </c>
      <c r="J95" s="356">
        <f t="shared" ca="1" si="26"/>
        <v>0</v>
      </c>
      <c r="K95" s="357">
        <f t="shared" ca="1" si="27"/>
        <v>2180000</v>
      </c>
      <c r="L95" s="362"/>
      <c r="M95" s="362"/>
      <c r="N95" s="362"/>
      <c r="O95" s="358"/>
      <c r="P95" s="358"/>
      <c r="Q95" s="341"/>
      <c r="R95" s="333"/>
      <c r="S95" s="359"/>
      <c r="T95" s="338"/>
      <c r="U95" s="338"/>
      <c r="V95" s="338"/>
    </row>
    <row r="96" spans="1:22" s="363" customFormat="1">
      <c r="A96" s="333"/>
      <c r="B96" s="492">
        <v>5</v>
      </c>
      <c r="C96" s="499" t="s">
        <v>798</v>
      </c>
      <c r="D96" s="353" t="str">
        <f ca="1">IF(ISERROR(OFFSET('HARGA SATUAN'!$D$6,MATCH(RAB!C96,'HARGA SATUAN'!$C$7:$C$1492,0),0)),"",OFFSET('HARGA SATUAN'!$D$6,MATCH(RAB!C96,'HARGA SATUAN'!$C$7:$C$1492,0),0))</f>
        <v>JASA</v>
      </c>
      <c r="E96" s="354" t="str">
        <f ca="1">IF(B96="+","Unit",IF(ISERROR(OFFSET('HARGA SATUAN'!$E$6,MATCH(RAB!C96,'HARGA SATUAN'!$C$7:$C$1492,0),0)),"",OFFSET('HARGA SATUAN'!$E$6,MATCH(RAB!C96,'HARGA SATUAN'!$C$7:$C$1492,0),0)))</f>
        <v>Unit</v>
      </c>
      <c r="F96" s="500">
        <f>F91*1</f>
        <v>1</v>
      </c>
      <c r="G96" s="355">
        <f ca="1">IF(ISERROR(OFFSET('HARGA SATUAN'!$I$6,MATCH(RAB!C96,'HARGA SATUAN'!$C$7:$C$1492,0),0)),0,OFFSET('HARGA SATUAN'!$I$6,MATCH(RAB!C96,'HARGA SATUAN'!$C$7:$C$1492,0),0))</f>
        <v>106400</v>
      </c>
      <c r="H96" s="356">
        <f t="shared" ca="1" si="24"/>
        <v>0</v>
      </c>
      <c r="I96" s="356">
        <f t="shared" ca="1" si="25"/>
        <v>0</v>
      </c>
      <c r="J96" s="356">
        <f t="shared" ca="1" si="26"/>
        <v>106400</v>
      </c>
      <c r="K96" s="357">
        <f t="shared" ca="1" si="27"/>
        <v>106400</v>
      </c>
      <c r="L96" s="362"/>
      <c r="M96" s="362"/>
      <c r="N96" s="362"/>
      <c r="O96" s="358"/>
      <c r="P96" s="358"/>
      <c r="Q96" s="341"/>
      <c r="R96" s="333"/>
      <c r="S96" s="359"/>
      <c r="T96" s="338"/>
      <c r="U96" s="338"/>
      <c r="V96" s="338"/>
    </row>
    <row r="97" spans="1:22" s="363" customFormat="1">
      <c r="A97" s="333"/>
      <c r="B97" s="483"/>
      <c r="C97" s="491"/>
      <c r="D97" s="353" t="str">
        <f ca="1">IF(ISERROR(OFFSET('HARGA SATUAN'!$D$6,MATCH(RAB!C97,'HARGA SATUAN'!$C$7:$C$1492,0),0)),"",OFFSET('HARGA SATUAN'!$D$6,MATCH(RAB!C97,'HARGA SATUAN'!$C$7:$C$1492,0),0))</f>
        <v/>
      </c>
      <c r="E97" s="354" t="str">
        <f ca="1">IF(B97="+","Unit",IF(ISERROR(OFFSET('HARGA SATUAN'!$E$6,MATCH(RAB!C97,'HARGA SATUAN'!$C$7:$C$1492,0),0)),"",OFFSET('HARGA SATUAN'!$E$6,MATCH(RAB!C97,'HARGA SATUAN'!$C$7:$C$1492,0),0)))</f>
        <v/>
      </c>
      <c r="F97" s="484"/>
      <c r="G97" s="355">
        <f ca="1">IF(ISERROR(OFFSET('HARGA SATUAN'!$I$6,MATCH(RAB!C97,'HARGA SATUAN'!$C$7:$C$1492,0),0)),0,OFFSET('HARGA SATUAN'!$I$6,MATCH(RAB!C97,'HARGA SATUAN'!$C$7:$C$1492,0),0))</f>
        <v>0</v>
      </c>
      <c r="H97" s="356">
        <f t="shared" ref="H97:H104" ca="1" si="28">IF(OR(D97="MDU",D97="MDU-KD"),(IF($O$3="RAB NON MDU","PLN KD",G97*F97)),0)</f>
        <v>0</v>
      </c>
      <c r="I97" s="356">
        <f t="shared" ref="I97:I104" ca="1" si="29">IF(D97="HDW",G97*F97,0)</f>
        <v>0</v>
      </c>
      <c r="J97" s="356">
        <f t="shared" ref="J97:J104" ca="1" si="30">IF(D97="JASA",G97*F97,0)</f>
        <v>0</v>
      </c>
      <c r="K97" s="357">
        <f t="shared" ref="K97:K104" ca="1" si="31">SUM(H97:J97)</f>
        <v>0</v>
      </c>
      <c r="L97" s="362"/>
      <c r="M97" s="362"/>
      <c r="N97" s="362"/>
      <c r="O97" s="358"/>
      <c r="P97" s="358"/>
      <c r="Q97" s="341"/>
      <c r="R97" s="333"/>
      <c r="S97" s="359"/>
      <c r="T97" s="338"/>
      <c r="U97" s="338"/>
      <c r="V97" s="338"/>
    </row>
    <row r="98" spans="1:22" s="363" customFormat="1">
      <c r="A98" s="333"/>
      <c r="B98" s="492" t="s">
        <v>1034</v>
      </c>
      <c r="C98" s="493" t="s">
        <v>1612</v>
      </c>
      <c r="D98" s="353" t="str">
        <f ca="1">IF(ISERROR(OFFSET('HARGA SATUAN'!$D$6,MATCH(RAB!C98,'HARGA SATUAN'!$C$7:$C$1492,0),0)),"",OFFSET('HARGA SATUAN'!$D$6,MATCH(RAB!C98,'HARGA SATUAN'!$C$7:$C$1492,0),0))</f>
        <v/>
      </c>
      <c r="E98" s="354" t="str">
        <f ca="1">IF(B98="+","Unit",IF(ISERROR(OFFSET('HARGA SATUAN'!$E$6,MATCH(RAB!C98,'HARGA SATUAN'!$C$7:$C$1492,0),0)),"",OFFSET('HARGA SATUAN'!$E$6,MATCH(RAB!C98,'HARGA SATUAN'!$C$7:$C$1492,0),0)))</f>
        <v>Unit</v>
      </c>
      <c r="F98" s="479">
        <v>1</v>
      </c>
      <c r="G98" s="355">
        <f ca="1">IF(ISERROR(OFFSET('HARGA SATUAN'!$I$6,MATCH(RAB!C98,'HARGA SATUAN'!$C$7:$C$1492,0),0)),0,OFFSET('HARGA SATUAN'!$I$6,MATCH(RAB!C98,'HARGA SATUAN'!$C$7:$C$1492,0),0))</f>
        <v>0</v>
      </c>
      <c r="H98" s="356">
        <f t="shared" ca="1" si="28"/>
        <v>0</v>
      </c>
      <c r="I98" s="356">
        <f t="shared" ca="1" si="29"/>
        <v>0</v>
      </c>
      <c r="J98" s="356">
        <f t="shared" ca="1" si="30"/>
        <v>0</v>
      </c>
      <c r="K98" s="357">
        <f t="shared" ca="1" si="31"/>
        <v>0</v>
      </c>
      <c r="L98" s="362"/>
      <c r="M98" s="362"/>
      <c r="N98" s="362"/>
      <c r="O98" s="358"/>
      <c r="P98" s="358"/>
      <c r="Q98" s="341"/>
      <c r="R98" s="333"/>
      <c r="S98" s="359"/>
      <c r="T98" s="338"/>
      <c r="U98" s="338"/>
      <c r="V98" s="338"/>
    </row>
    <row r="99" spans="1:22" s="363" customFormat="1">
      <c r="A99" s="333"/>
      <c r="B99" s="492">
        <v>1</v>
      </c>
      <c r="C99" s="493" t="s">
        <v>29</v>
      </c>
      <c r="D99" s="353" t="str">
        <f ca="1">IF(ISERROR(OFFSET('HARGA SATUAN'!$D$6,MATCH(RAB!C99,'HARGA SATUAN'!$C$7:$C$1492,0),0)),"",OFFSET('HARGA SATUAN'!$D$6,MATCH(RAB!C99,'HARGA SATUAN'!$C$7:$C$1492,0),0))</f>
        <v>HDW</v>
      </c>
      <c r="E99" s="354" t="str">
        <f ca="1">IF(B99="+","Unit",IF(ISERROR(OFFSET('HARGA SATUAN'!$E$6,MATCH(RAB!C99,'HARGA SATUAN'!$C$7:$C$1492,0),0)),"",OFFSET('HARGA SATUAN'!$E$6,MATCH(RAB!C99,'HARGA SATUAN'!$C$7:$C$1492,0),0)))</f>
        <v>Bh</v>
      </c>
      <c r="F99" s="479">
        <f>F98*1</f>
        <v>1</v>
      </c>
      <c r="G99" s="355">
        <f ca="1">IF(ISERROR(OFFSET('HARGA SATUAN'!$I$6,MATCH(RAB!C99,'HARGA SATUAN'!$C$7:$C$1492,0),0)),0,OFFSET('HARGA SATUAN'!$I$6,MATCH(RAB!C99,'HARGA SATUAN'!$C$7:$C$1492,0),0))</f>
        <v>185200</v>
      </c>
      <c r="H99" s="356">
        <f t="shared" ca="1" si="28"/>
        <v>0</v>
      </c>
      <c r="I99" s="356">
        <f t="shared" ca="1" si="29"/>
        <v>185200</v>
      </c>
      <c r="J99" s="356">
        <f t="shared" ca="1" si="30"/>
        <v>0</v>
      </c>
      <c r="K99" s="357">
        <f t="shared" ca="1" si="31"/>
        <v>185200</v>
      </c>
      <c r="L99" s="362"/>
      <c r="M99" s="362"/>
      <c r="N99" s="362"/>
      <c r="O99" s="358"/>
      <c r="P99" s="358"/>
      <c r="Q99" s="341"/>
      <c r="R99" s="333"/>
      <c r="S99" s="359"/>
      <c r="T99" s="338"/>
      <c r="U99" s="338"/>
      <c r="V99" s="338"/>
    </row>
    <row r="100" spans="1:22" s="363" customFormat="1">
      <c r="A100" s="333"/>
      <c r="B100" s="492">
        <v>2</v>
      </c>
      <c r="C100" s="493" t="s">
        <v>30</v>
      </c>
      <c r="D100" s="353" t="str">
        <f ca="1">IF(ISERROR(OFFSET('HARGA SATUAN'!$D$6,MATCH(RAB!C100,'HARGA SATUAN'!$C$7:$C$1492,0),0)),"",OFFSET('HARGA SATUAN'!$D$6,MATCH(RAB!C100,'HARGA SATUAN'!$C$7:$C$1492,0),0))</f>
        <v>HDW</v>
      </c>
      <c r="E100" s="354" t="str">
        <f ca="1">IF(B100="+","Unit",IF(ISERROR(OFFSET('HARGA SATUAN'!$E$6,MATCH(RAB!C100,'HARGA SATUAN'!$C$7:$C$1492,0),0)),"",OFFSET('HARGA SATUAN'!$E$6,MATCH(RAB!C100,'HARGA SATUAN'!$C$7:$C$1492,0),0)))</f>
        <v>Bh</v>
      </c>
      <c r="F100" s="479">
        <f>F98*1</f>
        <v>1</v>
      </c>
      <c r="G100" s="355">
        <f ca="1">IF(ISERROR(OFFSET('HARGA SATUAN'!$I$6,MATCH(RAB!C100,'HARGA SATUAN'!$C$7:$C$1492,0),0)),0,OFFSET('HARGA SATUAN'!$I$6,MATCH(RAB!C100,'HARGA SATUAN'!$C$7:$C$1492,0),0))</f>
        <v>47459</v>
      </c>
      <c r="H100" s="356">
        <f t="shared" ca="1" si="28"/>
        <v>0</v>
      </c>
      <c r="I100" s="356">
        <f t="shared" ca="1" si="29"/>
        <v>47459</v>
      </c>
      <c r="J100" s="356">
        <f t="shared" ca="1" si="30"/>
        <v>0</v>
      </c>
      <c r="K100" s="357">
        <f t="shared" ca="1" si="31"/>
        <v>47459</v>
      </c>
      <c r="L100" s="362"/>
      <c r="M100" s="362"/>
      <c r="N100" s="362"/>
      <c r="O100" s="358"/>
      <c r="P100" s="358"/>
      <c r="Q100" s="341"/>
      <c r="R100" s="333"/>
      <c r="S100" s="359"/>
      <c r="T100" s="338"/>
      <c r="U100" s="338"/>
      <c r="V100" s="338"/>
    </row>
    <row r="101" spans="1:22" s="363" customFormat="1">
      <c r="A101" s="333"/>
      <c r="B101" s="492">
        <v>3</v>
      </c>
      <c r="C101" s="493" t="s">
        <v>32</v>
      </c>
      <c r="D101" s="353" t="str">
        <f ca="1">IF(ISERROR(OFFSET('HARGA SATUAN'!$D$6,MATCH(RAB!C101,'HARGA SATUAN'!$C$7:$C$1492,0),0)),"",OFFSET('HARGA SATUAN'!$D$6,MATCH(RAB!C101,'HARGA SATUAN'!$C$7:$C$1492,0),0))</f>
        <v>HDW</v>
      </c>
      <c r="E101" s="354" t="str">
        <f ca="1">IF(B101="+","Unit",IF(ISERROR(OFFSET('HARGA SATUAN'!$E$6,MATCH(RAB!C101,'HARGA SATUAN'!$C$7:$C$1492,0),0)),"",OFFSET('HARGA SATUAN'!$E$6,MATCH(RAB!C101,'HARGA SATUAN'!$C$7:$C$1492,0),0)))</f>
        <v>Mtr</v>
      </c>
      <c r="F101" s="479">
        <f>F98*1.5</f>
        <v>1.5</v>
      </c>
      <c r="G101" s="355">
        <f ca="1">IF(ISERROR(OFFSET('HARGA SATUAN'!$I$6,MATCH(RAB!C101,'HARGA SATUAN'!$C$7:$C$1492,0),0)),0,OFFSET('HARGA SATUAN'!$I$6,MATCH(RAB!C101,'HARGA SATUAN'!$C$7:$C$1492,0),0))</f>
        <v>30000</v>
      </c>
      <c r="H101" s="356">
        <f t="shared" ca="1" si="28"/>
        <v>0</v>
      </c>
      <c r="I101" s="356">
        <f t="shared" ca="1" si="29"/>
        <v>45000</v>
      </c>
      <c r="J101" s="356">
        <f t="shared" ca="1" si="30"/>
        <v>0</v>
      </c>
      <c r="K101" s="357">
        <f t="shared" ca="1" si="31"/>
        <v>45000</v>
      </c>
      <c r="L101" s="362"/>
      <c r="M101" s="362"/>
      <c r="N101" s="362"/>
      <c r="O101" s="358"/>
      <c r="P101" s="358"/>
      <c r="Q101" s="341"/>
      <c r="R101" s="333"/>
      <c r="S101" s="359"/>
      <c r="T101" s="338"/>
      <c r="U101" s="338"/>
      <c r="V101" s="338"/>
    </row>
    <row r="102" spans="1:22" s="363" customFormat="1">
      <c r="A102" s="333"/>
      <c r="B102" s="492">
        <v>4</v>
      </c>
      <c r="C102" s="493" t="s">
        <v>33</v>
      </c>
      <c r="D102" s="353" t="str">
        <f ca="1">IF(ISERROR(OFFSET('HARGA SATUAN'!$D$6,MATCH(RAB!C102,'HARGA SATUAN'!$C$7:$C$1492,0),0)),"",OFFSET('HARGA SATUAN'!$D$6,MATCH(RAB!C102,'HARGA SATUAN'!$C$7:$C$1492,0),0))</f>
        <v>HDW</v>
      </c>
      <c r="E102" s="354" t="str">
        <f ca="1">IF(B102="+","Unit",IF(ISERROR(OFFSET('HARGA SATUAN'!$E$6,MATCH(RAB!C102,'HARGA SATUAN'!$C$7:$C$1492,0),0)),"",OFFSET('HARGA SATUAN'!$E$6,MATCH(RAB!C102,'HARGA SATUAN'!$C$7:$C$1492,0),0)))</f>
        <v>Bh</v>
      </c>
      <c r="F102" s="479">
        <f>F98*2</f>
        <v>2</v>
      </c>
      <c r="G102" s="355">
        <f ca="1">IF(ISERROR(OFFSET('HARGA SATUAN'!$I$6,MATCH(RAB!C102,'HARGA SATUAN'!$C$7:$C$1492,0),0)),0,OFFSET('HARGA SATUAN'!$I$6,MATCH(RAB!C102,'HARGA SATUAN'!$C$7:$C$1492,0),0))</f>
        <v>9500</v>
      </c>
      <c r="H102" s="356">
        <f t="shared" ca="1" si="28"/>
        <v>0</v>
      </c>
      <c r="I102" s="356">
        <f t="shared" ca="1" si="29"/>
        <v>19000</v>
      </c>
      <c r="J102" s="356">
        <f t="shared" ca="1" si="30"/>
        <v>0</v>
      </c>
      <c r="K102" s="357">
        <f t="shared" ca="1" si="31"/>
        <v>19000</v>
      </c>
      <c r="L102" s="362"/>
      <c r="M102" s="362"/>
      <c r="N102" s="362"/>
      <c r="O102" s="358"/>
      <c r="P102" s="358"/>
      <c r="Q102" s="341"/>
      <c r="R102" s="333"/>
      <c r="S102" s="359"/>
      <c r="T102" s="338"/>
      <c r="U102" s="338"/>
      <c r="V102" s="338"/>
    </row>
    <row r="103" spans="1:22" s="363" customFormat="1">
      <c r="A103" s="333"/>
      <c r="B103" s="492">
        <v>5</v>
      </c>
      <c r="C103" s="493" t="s">
        <v>734</v>
      </c>
      <c r="D103" s="353" t="str">
        <f ca="1">IF(ISERROR(OFFSET('HARGA SATUAN'!$D$6,MATCH(RAB!C103,'HARGA SATUAN'!$C$7:$C$1492,0),0)),"",OFFSET('HARGA SATUAN'!$D$6,MATCH(RAB!C103,'HARGA SATUAN'!$C$7:$C$1492,0),0))</f>
        <v>JASA</v>
      </c>
      <c r="E103" s="354" t="str">
        <f ca="1">IF(B103="+","Unit",IF(ISERROR(OFFSET('HARGA SATUAN'!$E$6,MATCH(RAB!C103,'HARGA SATUAN'!$C$7:$C$1492,0),0)),"",OFFSET('HARGA SATUAN'!$E$6,MATCH(RAB!C103,'HARGA SATUAN'!$C$7:$C$1492,0),0)))</f>
        <v>Unit</v>
      </c>
      <c r="F103" s="479">
        <f>F98*1</f>
        <v>1</v>
      </c>
      <c r="G103" s="355">
        <f ca="1">IF(ISERROR(OFFSET('HARGA SATUAN'!$I$6,MATCH(RAB!C103,'HARGA SATUAN'!$C$7:$C$1492,0),0)),0,OFFSET('HARGA SATUAN'!$I$6,MATCH(RAB!C103,'HARGA SATUAN'!$C$7:$C$1492,0),0))</f>
        <v>56400</v>
      </c>
      <c r="H103" s="356">
        <f t="shared" ca="1" si="28"/>
        <v>0</v>
      </c>
      <c r="I103" s="356">
        <f t="shared" ca="1" si="29"/>
        <v>0</v>
      </c>
      <c r="J103" s="356">
        <f t="shared" ca="1" si="30"/>
        <v>56400</v>
      </c>
      <c r="K103" s="357">
        <f t="shared" ca="1" si="31"/>
        <v>56400</v>
      </c>
      <c r="L103" s="362"/>
      <c r="M103" s="362"/>
      <c r="N103" s="362"/>
      <c r="O103" s="358"/>
      <c r="P103" s="358"/>
      <c r="Q103" s="341"/>
      <c r="R103" s="333"/>
      <c r="S103" s="359"/>
      <c r="T103" s="338"/>
      <c r="U103" s="338"/>
      <c r="V103" s="338"/>
    </row>
    <row r="104" spans="1:22" s="363" customFormat="1">
      <c r="A104" s="333"/>
      <c r="B104" s="483"/>
      <c r="C104" s="491"/>
      <c r="D104" s="353" t="str">
        <f ca="1">IF(ISERROR(OFFSET('HARGA SATUAN'!$D$6,MATCH(RAB!C104,'HARGA SATUAN'!$C$7:$C$1492,0),0)),"",OFFSET('HARGA SATUAN'!$D$6,MATCH(RAB!C104,'HARGA SATUAN'!$C$7:$C$1492,0),0))</f>
        <v/>
      </c>
      <c r="E104" s="354" t="str">
        <f ca="1">IF(B104="+","Unit",IF(ISERROR(OFFSET('HARGA SATUAN'!$E$6,MATCH(RAB!C104,'HARGA SATUAN'!$C$7:$C$1492,0),0)),"",OFFSET('HARGA SATUAN'!$E$6,MATCH(RAB!C104,'HARGA SATUAN'!$C$7:$C$1492,0),0)))</f>
        <v/>
      </c>
      <c r="F104" s="484"/>
      <c r="G104" s="355">
        <f ca="1">IF(ISERROR(OFFSET('HARGA SATUAN'!$I$6,MATCH(RAB!C104,'HARGA SATUAN'!$C$7:$C$1492,0),0)),0,OFFSET('HARGA SATUAN'!$I$6,MATCH(RAB!C104,'HARGA SATUAN'!$C$7:$C$1492,0),0))</f>
        <v>0</v>
      </c>
      <c r="H104" s="356">
        <f t="shared" ca="1" si="28"/>
        <v>0</v>
      </c>
      <c r="I104" s="356">
        <f t="shared" ca="1" si="29"/>
        <v>0</v>
      </c>
      <c r="J104" s="356">
        <f t="shared" ca="1" si="30"/>
        <v>0</v>
      </c>
      <c r="K104" s="357">
        <f t="shared" ca="1" si="31"/>
        <v>0</v>
      </c>
      <c r="L104" s="362"/>
      <c r="M104" s="362"/>
      <c r="N104" s="362"/>
      <c r="O104" s="358"/>
      <c r="P104" s="358"/>
      <c r="Q104" s="341"/>
      <c r="R104" s="333"/>
      <c r="S104" s="359"/>
      <c r="T104" s="338"/>
      <c r="U104" s="338"/>
      <c r="V104" s="338"/>
    </row>
    <row r="105" spans="1:22">
      <c r="B105" s="365">
        <v>1</v>
      </c>
      <c r="C105" s="366" t="s">
        <v>1089</v>
      </c>
      <c r="D105" s="367" t="str">
        <f ca="1">IF(ISERROR(OFFSET('HARGA SATUAN'!$D$6,MATCH(RAB!C105,'HARGA SATUAN'!$C$7:$C$1492,0),0)),"",OFFSET('HARGA SATUAN'!$D$6,MATCH(RAB!C105,'HARGA SATUAN'!$C$7:$C$1492,0),0))</f>
        <v>JASA</v>
      </c>
      <c r="E105" s="368" t="str">
        <f ca="1">IF(ISERROR(OFFSET('HARGA SATUAN'!$E$6,MATCH(RAB!C105,'HARGA SATUAN'!$C$7:$C$1492,0),0)),"",OFFSET('HARGA SATUAN'!$E$6,MATCH(RAB!C105,'HARGA SATUAN'!$C$7:$C$1492,0),0))</f>
        <v>Lot</v>
      </c>
      <c r="F105" s="369">
        <v>1</v>
      </c>
      <c r="G105" s="370">
        <f ca="1">IF(ISERROR(OFFSET('HARGA SATUAN'!$I$6,MATCH(RAB!C105,'HARGA SATUAN'!$C$7:$C$1492,0),0)),0,OFFSET('HARGA SATUAN'!$I$6,MATCH(RAB!C105,'HARGA SATUAN'!$C$7:$C$1492,0),0))</f>
        <v>2.5000000000000001E-2</v>
      </c>
      <c r="H105" s="371">
        <f ca="1">(SUM(H14:H96))*2.5%</f>
        <v>1623398.75</v>
      </c>
      <c r="I105" s="371">
        <f ca="1">(SUM(I14:I96))*2.5%</f>
        <v>326035.67500000005</v>
      </c>
      <c r="J105" s="371">
        <f ca="1">(SUM(J14:J96))*2.5%</f>
        <v>40117.5</v>
      </c>
      <c r="K105" s="371">
        <f ca="1">(SUM(K14:K96))*2.5%</f>
        <v>1989551.925</v>
      </c>
    </row>
    <row r="106" spans="1:22">
      <c r="B106" s="372"/>
      <c r="C106" s="373"/>
      <c r="D106" s="353" t="str">
        <f ca="1">IF(ISERROR(OFFSET('HARGA SATUAN'!$D$6,MATCH(RAB!C106,'HARGA SATUAN'!$C$7:$C$1492,0),0)),"",OFFSET('HARGA SATUAN'!$D$6,MATCH(RAB!C106,'HARGA SATUAN'!$C$7:$C$1492,0),0))</f>
        <v/>
      </c>
      <c r="E106" s="354" t="str">
        <f ca="1">IF(ISERROR(OFFSET('HARGA SATUAN'!$E$6,MATCH(RAB!C106,'HARGA SATUAN'!$C$7:$C$1492,0),0)),"",OFFSET('HARGA SATUAN'!$E$6,MATCH(RAB!C106,'HARGA SATUAN'!$C$7:$C$1492,0),0))</f>
        <v/>
      </c>
      <c r="F106" s="364"/>
      <c r="G106" s="355" t="str">
        <f ca="1">IF(ISERROR(OFFSET('HARGA SATUAN'!$I$6,MATCH(RAB!C106,'HARGA SATUAN'!$C$7:$C$1492,0),0)),"",OFFSET('HARGA SATUAN'!$I$6,MATCH(RAB!C106,'HARGA SATUAN'!$C$7:$C$1492,0),0))</f>
        <v/>
      </c>
      <c r="H106" s="356">
        <f ca="1">IF(OR(D106="MDU",D106="MDU-KD"),IF(G106="PLN",0,G106*F106),0)</f>
        <v>0</v>
      </c>
      <c r="I106" s="356">
        <f ca="1">IF(D106="HDW",IF(G106="PLN",0,G106*F106),0)</f>
        <v>0</v>
      </c>
      <c r="J106" s="356">
        <f ca="1">IF(D106="JASA",IF(G106="PLN",0,G106*F106),0)</f>
        <v>0</v>
      </c>
      <c r="K106" s="357">
        <f ca="1">SUM(H106:J106)</f>
        <v>0</v>
      </c>
    </row>
    <row r="107" spans="1:22" ht="15.75" thickBot="1">
      <c r="B107" s="374"/>
      <c r="C107" s="375"/>
      <c r="D107" s="376"/>
      <c r="E107" s="377"/>
      <c r="F107" s="377"/>
      <c r="G107" s="377"/>
      <c r="H107" s="378"/>
      <c r="I107" s="378"/>
      <c r="J107" s="378"/>
      <c r="K107" s="379"/>
    </row>
    <row r="108" spans="1:22">
      <c r="B108" s="380"/>
      <c r="C108" s="625" t="s">
        <v>1007</v>
      </c>
      <c r="D108" s="625"/>
      <c r="E108" s="625"/>
      <c r="F108" s="625"/>
      <c r="G108" s="381" t="s">
        <v>9</v>
      </c>
      <c r="H108" s="382">
        <f ca="1">SUM(H14:H106)</f>
        <v>66559348.75</v>
      </c>
      <c r="I108" s="382">
        <f ca="1">SUM(I14:I106)</f>
        <v>13664121.675000001</v>
      </c>
      <c r="J108" s="382">
        <f ca="1">SUM(J14:J106)</f>
        <v>1701217.5</v>
      </c>
      <c r="K108" s="382">
        <f ca="1">SUM(K14:K106)</f>
        <v>81924687.924999997</v>
      </c>
    </row>
    <row r="109" spans="1:22">
      <c r="B109" s="383"/>
      <c r="C109" s="608" t="s">
        <v>1455</v>
      </c>
      <c r="D109" s="608"/>
      <c r="E109" s="608"/>
      <c r="F109" s="608"/>
      <c r="G109" s="384" t="s">
        <v>9</v>
      </c>
      <c r="H109" s="385">
        <f ca="1">H108*0.11</f>
        <v>7321528.3624999998</v>
      </c>
      <c r="I109" s="385">
        <f ca="1">I108*0.11</f>
        <v>1503053.3842500001</v>
      </c>
      <c r="J109" s="385">
        <f ca="1">J108*0.11</f>
        <v>187133.92499999999</v>
      </c>
      <c r="K109" s="385">
        <f ca="1">K108*0.11</f>
        <v>9011715.6717499997</v>
      </c>
    </row>
    <row r="110" spans="1:22" ht="15.75" thickBot="1">
      <c r="B110" s="383"/>
      <c r="C110" s="606" t="s">
        <v>463</v>
      </c>
      <c r="D110" s="606"/>
      <c r="E110" s="606"/>
      <c r="F110" s="606"/>
      <c r="G110" s="386" t="s">
        <v>9</v>
      </c>
      <c r="H110" s="387">
        <f ca="1">SUM(H108:H109)</f>
        <v>73880877.112499997</v>
      </c>
      <c r="I110" s="387">
        <f ca="1">SUM(I108:I109)</f>
        <v>15167175.059250001</v>
      </c>
      <c r="J110" s="386">
        <f ca="1">SUM(J108:J109)</f>
        <v>1888351.425</v>
      </c>
      <c r="K110" s="386">
        <f ca="1">SUM(K108:K109)</f>
        <v>90936403.596749991</v>
      </c>
      <c r="M110" s="465"/>
    </row>
    <row r="111" spans="1:22">
      <c r="B111" s="609" t="str">
        <f ca="1">"Terbilang : "&amp;PROPER(IF(K110=0,"nol",IF(K110&lt;0,"minus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IF(--MID(TEXT(ABS(K110),"000000000000000"),1,3)=0,"",MID(TEXT(ABS(K110),"000000000000000"),1,1)&amp;" ratus "&amp;MID(TEXT(ABS(K110),"000000000000000"),2,1)&amp;" puluh "&amp;MID(TEXT(ABS(K110),"000000000000000"),3,1)&amp;" trilyun ")&amp; IF(--MID(TEXT(ABS(K110),"000000000000000"),4,3)=0,"",MID(TEXT(ABS(K110),"000000000000000"),4,1)&amp;" ratus "&amp;MID(TEXT(ABS(K110),"000000000000000"),5,1)&amp;" puluh "&amp;MID(TEXT(ABS(K110),"000000000000000"),6,1)&amp;" milyar ")&amp; IF(--MID(TEXT(ABS(K110),"000000000000000"),7,3)=0,"",MID(TEXT(ABS(K110),"000000000000000"),7,1)&amp;" ratus "&amp;MID(TEXT(ABS(K110),"000000000000000"),8,1)&amp;" puluh "&amp;MID(TEXT(ABS(K110),"000000000000000"),9,1)&amp;" juta ")&amp; IF(--MID(TEXT(ABS(K110),"000000000000000"),10,3)=0,"",IF(--MID(TEXT(ABS(K110),"000000000000000"),10,3)=1,"*",MID(TEXT(ABS(K110),"000000000000000"),10,1)&amp;" ratus "&amp;MID(TEXT(ABS(K110),"000000000000000"),11,1)&amp;" puluh ")&amp;MID(TEXT(ABS(K110),"000000000000000"),12,1)&amp;" ribu ")&amp; IF(--MID(TEXT(ABS(K110),"000000000000000"),13,3)=0,"",MID(TEXT(ABS(K110),"000000000000000"),13,1)&amp;" ratus "&amp;MID(TEXT(ABS(K110),"000000000000000"),14,1)&amp;" puluh "&amp;MID(TEXT(ABS(K110),"000000000000000"),15,1)),1,"satu"),2,"dua"),3,"tiga"),4,"empat"),5,"lima"),6,"enam"),7,"tujuh"),8,"delapan"),9,"sembilan"),"0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Juta Sembilan Ratus Tiga Puluh Enam Ribu Empat Ratus Empat Rupiah</v>
      </c>
      <c r="C111" s="610"/>
      <c r="D111" s="610"/>
      <c r="E111" s="610"/>
      <c r="F111" s="610"/>
      <c r="G111" s="610"/>
      <c r="H111" s="610"/>
      <c r="I111" s="610"/>
      <c r="J111" s="610"/>
      <c r="K111" s="611"/>
    </row>
    <row r="112" spans="1:22">
      <c r="B112" s="612"/>
      <c r="C112" s="613"/>
      <c r="D112" s="613"/>
      <c r="E112" s="613"/>
      <c r="F112" s="613"/>
      <c r="G112" s="613"/>
      <c r="H112" s="613"/>
      <c r="I112" s="613"/>
      <c r="J112" s="613"/>
      <c r="K112" s="614"/>
    </row>
    <row r="113" spans="2:11" ht="15.75" thickBot="1">
      <c r="B113" s="388" t="str">
        <f>"Harga yang dipakai adalah "&amp;'HARGA SATUAN'!I5&amp;""</f>
        <v>Harga yang dipakai adalah RAB HSS 2023</v>
      </c>
      <c r="C113" s="389"/>
      <c r="D113" s="390"/>
      <c r="E113" s="390"/>
      <c r="F113" s="390"/>
      <c r="G113" s="391"/>
      <c r="H113" s="391"/>
      <c r="I113" s="391"/>
      <c r="J113" s="391"/>
      <c r="K113" s="392"/>
    </row>
    <row r="114" spans="2:11">
      <c r="C114" s="393"/>
      <c r="E114" s="395"/>
      <c r="F114" s="395"/>
      <c r="G114" s="395"/>
    </row>
    <row r="115" spans="2:11">
      <c r="C115" s="334"/>
      <c r="E115" s="395"/>
      <c r="F115" s="395"/>
      <c r="G115" s="395"/>
      <c r="H115" s="615"/>
      <c r="I115" s="615"/>
      <c r="J115" s="616"/>
      <c r="K115" s="616"/>
    </row>
    <row r="116" spans="2:11">
      <c r="C116" s="334"/>
      <c r="E116" s="395"/>
      <c r="F116" s="395"/>
      <c r="G116" s="395"/>
      <c r="H116" s="396"/>
      <c r="I116" s="605" t="s">
        <v>1626</v>
      </c>
      <c r="J116" s="605"/>
      <c r="K116" s="605"/>
    </row>
    <row r="117" spans="2:11">
      <c r="C117" s="334"/>
      <c r="E117" s="395"/>
      <c r="F117" s="395"/>
      <c r="G117" s="395"/>
      <c r="H117" s="396"/>
      <c r="I117" s="605" t="s">
        <v>1627</v>
      </c>
      <c r="J117" s="605"/>
      <c r="K117" s="605"/>
    </row>
    <row r="118" spans="2:11">
      <c r="C118" s="334"/>
      <c r="E118" s="395"/>
      <c r="F118" s="395"/>
      <c r="G118" s="395"/>
      <c r="H118" s="397"/>
      <c r="I118" s="398"/>
      <c r="J118" s="398"/>
      <c r="K118" s="398"/>
    </row>
    <row r="119" spans="2:11">
      <c r="C119" s="334"/>
      <c r="E119" s="395"/>
      <c r="F119" s="395"/>
      <c r="G119" s="395"/>
      <c r="H119" s="397"/>
      <c r="I119" s="397"/>
      <c r="J119" s="397"/>
      <c r="K119" s="397"/>
    </row>
    <row r="120" spans="2:11">
      <c r="C120" s="334"/>
      <c r="E120" s="395"/>
      <c r="F120" s="395"/>
      <c r="G120" s="395"/>
      <c r="H120" s="397"/>
      <c r="I120" s="397"/>
      <c r="J120" s="397"/>
      <c r="K120" s="397"/>
    </row>
    <row r="121" spans="2:11">
      <c r="C121" s="334"/>
      <c r="E121" s="395"/>
      <c r="F121" s="395"/>
      <c r="G121" s="395"/>
      <c r="H121" s="397"/>
      <c r="I121" s="397"/>
      <c r="J121" s="397"/>
      <c r="K121" s="397"/>
    </row>
    <row r="122" spans="2:11">
      <c r="C122" s="334"/>
      <c r="E122" s="395"/>
      <c r="F122" s="395"/>
      <c r="G122" s="395"/>
      <c r="H122" s="399"/>
      <c r="I122" s="605"/>
      <c r="J122" s="605"/>
      <c r="K122" s="605"/>
    </row>
    <row r="123" spans="2:11">
      <c r="C123" s="393"/>
      <c r="E123" s="395"/>
      <c r="F123" s="395"/>
      <c r="G123" s="395"/>
      <c r="H123" s="397"/>
      <c r="I123" s="703" t="s">
        <v>1632</v>
      </c>
      <c r="J123" s="703"/>
      <c r="K123" s="703"/>
    </row>
    <row r="124" spans="2:11">
      <c r="C124" s="393"/>
      <c r="E124" s="395"/>
      <c r="F124" s="395"/>
      <c r="G124" s="395"/>
      <c r="H124" s="397"/>
      <c r="I124" s="397"/>
      <c r="J124" s="397"/>
      <c r="K124" s="397"/>
    </row>
    <row r="125" spans="2:11">
      <c r="C125" s="393"/>
      <c r="E125" s="395"/>
      <c r="F125" s="395"/>
      <c r="G125" s="395"/>
      <c r="H125" s="397"/>
      <c r="I125" s="397"/>
      <c r="J125" s="397"/>
      <c r="K125" s="397"/>
    </row>
  </sheetData>
  <sheetProtection sort="0" autoFilter="0"/>
  <protectedRanges>
    <protectedRange sqref="F14:F39 F50:F81" name="Range1_1_2_2"/>
    <protectedRange sqref="B92" name="Range1_1_1"/>
    <protectedRange sqref="B15:C24 B50:C51 B25 B26:C39" name="Range1_1_1_1"/>
    <protectedRange sqref="C92" name="Range1_1_3_12_1"/>
    <protectedRange sqref="C25" name="Range1_1_3"/>
    <protectedRange sqref="C95" name="Range1_1_3_1"/>
  </protectedRanges>
  <mergeCells count="23">
    <mergeCell ref="I123:K123"/>
    <mergeCell ref="O3:P4"/>
    <mergeCell ref="B4:K4"/>
    <mergeCell ref="C108:F108"/>
    <mergeCell ref="B11:B13"/>
    <mergeCell ref="C11:C13"/>
    <mergeCell ref="D11:D13"/>
    <mergeCell ref="E11:E13"/>
    <mergeCell ref="F11:F13"/>
    <mergeCell ref="G11:G13"/>
    <mergeCell ref="I12:I13"/>
    <mergeCell ref="I117:K117"/>
    <mergeCell ref="I122:K122"/>
    <mergeCell ref="C110:F110"/>
    <mergeCell ref="G6:K6"/>
    <mergeCell ref="I116:K116"/>
    <mergeCell ref="C109:F109"/>
    <mergeCell ref="B111:K112"/>
    <mergeCell ref="H115:K115"/>
    <mergeCell ref="H11:K11"/>
    <mergeCell ref="H12:H13"/>
    <mergeCell ref="J12:J13"/>
    <mergeCell ref="K12:K13"/>
  </mergeCells>
  <phoneticPr fontId="142" type="noConversion"/>
  <conditionalFormatting sqref="C18">
    <cfRule type="cellIs" dxfId="7" priority="9" operator="equal">
      <formula>0</formula>
    </cfRule>
  </conditionalFormatting>
  <conditionalFormatting sqref="C22">
    <cfRule type="cellIs" dxfId="6" priority="8" operator="equal">
      <formula>0</formula>
    </cfRule>
  </conditionalFormatting>
  <conditionalFormatting sqref="C25">
    <cfRule type="cellIs" dxfId="5" priority="5" operator="equal">
      <formula>0</formula>
    </cfRule>
  </conditionalFormatting>
  <conditionalFormatting sqref="C88">
    <cfRule type="cellIs" dxfId="4" priority="20" operator="equal">
      <formula>0</formula>
    </cfRule>
  </conditionalFormatting>
  <conditionalFormatting sqref="C92">
    <cfRule type="cellIs" dxfId="3" priority="4" operator="equal">
      <formula>0</formula>
    </cfRule>
  </conditionalFormatting>
  <conditionalFormatting sqref="C95">
    <cfRule type="cellIs" dxfId="2" priority="2" operator="equal">
      <formula>0</formula>
    </cfRule>
  </conditionalFormatting>
  <conditionalFormatting sqref="E1:E3 G1:G13 E5:E13 H12:I12 O13 E105:G105 H105:K107 E106:H106 E107:F107 S14:V104 E14:K104">
    <cfRule type="cellIs" dxfId="1" priority="1211" stopIfTrue="1" operator="equal">
      <formula>0</formula>
    </cfRule>
  </conditionalFormatting>
  <conditionalFormatting sqref="G106:G65572 E111:E65572">
    <cfRule type="cellIs" dxfId="0" priority="34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90 C19:C21 F17:F35 F40:F49 F98:F103 H14:K10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  <pageSetUpPr fitToPage="1"/>
  </sheetPr>
  <dimension ref="C1:AD56"/>
  <sheetViews>
    <sheetView showGridLines="0" view="pageBreakPreview" topLeftCell="A35" zoomScale="70" zoomScaleNormal="115" zoomScaleSheetLayoutView="70" workbookViewId="0">
      <selection activeCell="AD56" sqref="A1:AD56"/>
    </sheetView>
  </sheetViews>
  <sheetFormatPr defaultRowHeight="12"/>
  <cols>
    <col min="1" max="2" width="1.42578125" style="235" customWidth="1"/>
    <col min="3" max="22" width="7.42578125" style="235" customWidth="1"/>
    <col min="23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09" width="5.7109375" style="235" customWidth="1"/>
    <col min="110" max="16384" width="9.140625" style="235"/>
  </cols>
  <sheetData>
    <row r="1" spans="3:30" ht="12.75" thickBot="1"/>
    <row r="2" spans="3:30" ht="15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86" t="s">
        <v>1437</v>
      </c>
      <c r="X2" s="687"/>
      <c r="Y2" s="687"/>
      <c r="Z2" s="687"/>
      <c r="AA2" s="687"/>
      <c r="AB2" s="687"/>
      <c r="AC2" s="687"/>
      <c r="AD2" s="688"/>
    </row>
    <row r="3" spans="3:30" ht="15.75" customHeight="1">
      <c r="C3" s="238"/>
      <c r="W3" s="689"/>
      <c r="X3" s="690"/>
      <c r="Y3" s="690"/>
      <c r="Z3" s="690"/>
      <c r="AA3" s="690"/>
      <c r="AB3" s="690"/>
      <c r="AC3" s="690"/>
      <c r="AD3" s="691"/>
    </row>
    <row r="4" spans="3:30" ht="12" customHeight="1">
      <c r="C4" s="238"/>
      <c r="W4" s="239" t="s">
        <v>986</v>
      </c>
      <c r="AD4" s="240"/>
    </row>
    <row r="5" spans="3:30" ht="12" customHeight="1">
      <c r="C5" s="238"/>
      <c r="W5" s="241" t="s">
        <v>990</v>
      </c>
      <c r="X5" s="637" t="s">
        <v>989</v>
      </c>
      <c r="Y5" s="637"/>
      <c r="Z5" s="637"/>
      <c r="AA5" s="637" t="s">
        <v>987</v>
      </c>
      <c r="AB5" s="637"/>
      <c r="AC5" s="637" t="s">
        <v>988</v>
      </c>
      <c r="AD5" s="638"/>
    </row>
    <row r="6" spans="3:30" ht="12" customHeight="1">
      <c r="C6" s="238"/>
      <c r="W6" s="241">
        <v>1</v>
      </c>
      <c r="X6" s="637" t="s">
        <v>992</v>
      </c>
      <c r="Y6" s="637"/>
      <c r="Z6" s="637"/>
      <c r="AA6" s="637"/>
      <c r="AB6" s="637"/>
      <c r="AC6" s="637"/>
      <c r="AD6" s="638"/>
    </row>
    <row r="7" spans="3:30" ht="12" customHeight="1">
      <c r="C7" s="238"/>
      <c r="E7" s="471" t="str">
        <f>PETA!C6</f>
        <v>-6.938667, 110.516238</v>
      </c>
      <c r="W7" s="241">
        <v>2</v>
      </c>
      <c r="X7" s="637" t="s">
        <v>993</v>
      </c>
      <c r="Y7" s="637"/>
      <c r="Z7" s="637"/>
      <c r="AA7" s="637"/>
      <c r="AB7" s="637"/>
      <c r="AC7" s="637"/>
      <c r="AD7" s="638"/>
    </row>
    <row r="8" spans="3:30" ht="12" customHeight="1">
      <c r="C8" s="238"/>
      <c r="W8" s="241">
        <v>3</v>
      </c>
      <c r="X8" s="637" t="s">
        <v>994</v>
      </c>
      <c r="Y8" s="637"/>
      <c r="Z8" s="637"/>
      <c r="AA8" s="637"/>
      <c r="AB8" s="637"/>
      <c r="AC8" s="637"/>
      <c r="AD8" s="638"/>
    </row>
    <row r="9" spans="3:30" ht="12" customHeight="1">
      <c r="C9" s="238"/>
      <c r="W9" s="241">
        <v>4</v>
      </c>
      <c r="X9" s="637" t="s">
        <v>995</v>
      </c>
      <c r="Y9" s="637"/>
      <c r="Z9" s="637"/>
      <c r="AA9" s="637"/>
      <c r="AB9" s="637"/>
      <c r="AC9" s="637"/>
      <c r="AD9" s="638"/>
    </row>
    <row r="10" spans="3:30" ht="12" customHeight="1">
      <c r="C10" s="238"/>
      <c r="W10" s="241">
        <v>5</v>
      </c>
      <c r="X10" s="637" t="s">
        <v>996</v>
      </c>
      <c r="Y10" s="637"/>
      <c r="Z10" s="637"/>
      <c r="AA10" s="637"/>
      <c r="AB10" s="637"/>
      <c r="AC10" s="637"/>
      <c r="AD10" s="638"/>
    </row>
    <row r="11" spans="3:30" ht="12" customHeight="1">
      <c r="C11" s="238"/>
      <c r="W11" s="241">
        <v>6</v>
      </c>
      <c r="X11" s="637" t="s">
        <v>997</v>
      </c>
      <c r="Y11" s="637"/>
      <c r="Z11" s="637"/>
      <c r="AA11" s="637"/>
      <c r="AB11" s="637"/>
      <c r="AC11" s="637"/>
      <c r="AD11" s="638"/>
    </row>
    <row r="12" spans="3:30" ht="12" customHeight="1">
      <c r="C12" s="238"/>
      <c r="W12" s="241">
        <v>7</v>
      </c>
      <c r="X12" s="637" t="s">
        <v>998</v>
      </c>
      <c r="Y12" s="637"/>
      <c r="Z12" s="637"/>
      <c r="AA12" s="637"/>
      <c r="AB12" s="637"/>
      <c r="AC12" s="637"/>
      <c r="AD12" s="638"/>
    </row>
    <row r="13" spans="3:30" ht="12" customHeight="1">
      <c r="C13" s="238"/>
      <c r="W13" s="241">
        <v>8</v>
      </c>
      <c r="X13" s="637" t="s">
        <v>999</v>
      </c>
      <c r="Y13" s="637"/>
      <c r="Z13" s="637"/>
      <c r="AA13" s="637"/>
      <c r="AB13" s="637"/>
      <c r="AC13" s="637"/>
      <c r="AD13" s="638"/>
    </row>
    <row r="14" spans="3:30" ht="12" customHeight="1">
      <c r="C14" s="238"/>
      <c r="W14" s="241">
        <v>9</v>
      </c>
      <c r="X14" s="637" t="s">
        <v>1000</v>
      </c>
      <c r="Y14" s="637"/>
      <c r="Z14" s="637"/>
      <c r="AA14" s="637"/>
      <c r="AB14" s="637"/>
      <c r="AC14" s="637"/>
      <c r="AD14" s="638"/>
    </row>
    <row r="15" spans="3:30" ht="12" customHeight="1">
      <c r="C15" s="238"/>
      <c r="W15" s="241">
        <v>10</v>
      </c>
      <c r="X15" s="637" t="s">
        <v>1009</v>
      </c>
      <c r="Y15" s="637"/>
      <c r="Z15" s="637"/>
      <c r="AA15" s="637"/>
      <c r="AB15" s="637"/>
      <c r="AC15" s="637"/>
      <c r="AD15" s="638"/>
    </row>
    <row r="16" spans="3:30" ht="12" customHeight="1">
      <c r="C16" s="238"/>
      <c r="W16" s="241">
        <v>11</v>
      </c>
      <c r="X16" s="637" t="s">
        <v>1453</v>
      </c>
      <c r="Y16" s="637"/>
      <c r="Z16" s="637"/>
      <c r="AA16" s="637"/>
      <c r="AB16" s="637"/>
      <c r="AC16" s="637"/>
      <c r="AD16" s="638"/>
    </row>
    <row r="17" spans="3:30" ht="12" customHeight="1">
      <c r="C17" s="238"/>
      <c r="S17" s="242"/>
      <c r="W17" s="241">
        <v>12</v>
      </c>
      <c r="X17" s="637" t="s">
        <v>1010</v>
      </c>
      <c r="Y17" s="637"/>
      <c r="Z17" s="637"/>
      <c r="AA17" s="637"/>
      <c r="AB17" s="637"/>
      <c r="AC17" s="637"/>
      <c r="AD17" s="638"/>
    </row>
    <row r="18" spans="3:30" ht="12" customHeight="1">
      <c r="C18" s="243"/>
      <c r="D18" s="244"/>
      <c r="E18" s="244"/>
      <c r="W18" s="241">
        <v>13</v>
      </c>
      <c r="X18" s="637"/>
      <c r="Y18" s="637"/>
      <c r="Z18" s="637"/>
      <c r="AA18" s="637"/>
      <c r="AB18" s="637"/>
      <c r="AC18" s="637"/>
      <c r="AD18" s="638"/>
    </row>
    <row r="19" spans="3:30" ht="12" customHeight="1">
      <c r="C19" s="238"/>
      <c r="W19" s="245"/>
      <c r="X19" s="684"/>
      <c r="Y19" s="684"/>
      <c r="Z19" s="684"/>
      <c r="AA19" s="684"/>
      <c r="AB19" s="684"/>
      <c r="AC19" s="684"/>
      <c r="AD19" s="685"/>
    </row>
    <row r="20" spans="3:30" ht="12" customHeight="1">
      <c r="C20" s="238"/>
      <c r="W20" s="667" t="s">
        <v>991</v>
      </c>
      <c r="X20" s="668"/>
      <c r="Y20" s="668"/>
      <c r="Z20" s="668"/>
      <c r="AA20" s="668"/>
      <c r="AB20" s="668"/>
      <c r="AC20" s="668"/>
      <c r="AD20" s="669"/>
    </row>
    <row r="21" spans="3:30" ht="12" customHeight="1">
      <c r="C21" s="238"/>
      <c r="W21" s="670" t="s">
        <v>984</v>
      </c>
      <c r="X21" s="671"/>
      <c r="Y21" s="671"/>
      <c r="Z21" s="672"/>
      <c r="AA21" s="673" t="s">
        <v>985</v>
      </c>
      <c r="AB21" s="674"/>
      <c r="AC21" s="674"/>
      <c r="AD21" s="675"/>
    </row>
    <row r="22" spans="3:30" ht="12" customHeight="1">
      <c r="C22" s="238"/>
      <c r="W22" s="665"/>
      <c r="X22" s="666"/>
      <c r="Y22" s="475"/>
      <c r="Z22" s="476"/>
      <c r="AA22" s="676"/>
      <c r="AB22" s="677"/>
      <c r="AC22" s="248"/>
      <c r="AD22" s="249"/>
    </row>
    <row r="23" spans="3:30" ht="12" customHeight="1">
      <c r="C23" s="238"/>
      <c r="W23" s="665"/>
      <c r="X23" s="666"/>
      <c r="Y23" s="475"/>
      <c r="Z23" s="476"/>
      <c r="AA23" s="678"/>
      <c r="AB23" s="679"/>
      <c r="AC23" s="248"/>
      <c r="AD23" s="249"/>
    </row>
    <row r="24" spans="3:30" ht="12" customHeight="1">
      <c r="C24" s="238"/>
      <c r="W24" s="473"/>
      <c r="X24" s="474"/>
      <c r="Y24" s="475"/>
      <c r="Z24" s="476"/>
      <c r="AA24" s="682"/>
      <c r="AB24" s="683"/>
      <c r="AC24" s="248"/>
      <c r="AD24" s="249"/>
    </row>
    <row r="25" spans="3:30" ht="12" customHeight="1">
      <c r="C25" s="238"/>
      <c r="W25" s="657"/>
      <c r="X25" s="658"/>
      <c r="Y25" s="475"/>
      <c r="Z25" s="476"/>
      <c r="AA25" s="678"/>
      <c r="AB25" s="679"/>
      <c r="AC25" s="248"/>
      <c r="AD25" s="249"/>
    </row>
    <row r="26" spans="3:30" ht="12" customHeight="1">
      <c r="C26" s="238"/>
      <c r="W26" s="657"/>
      <c r="X26" s="658"/>
      <c r="Y26" s="475"/>
      <c r="Z26" s="476"/>
      <c r="AA26" s="678"/>
      <c r="AB26" s="679"/>
      <c r="AC26" s="248"/>
      <c r="AD26" s="249"/>
    </row>
    <row r="27" spans="3:30" ht="12" customHeight="1">
      <c r="C27" s="238"/>
      <c r="W27" s="657"/>
      <c r="X27" s="658"/>
      <c r="Y27" s="475"/>
      <c r="Z27" s="476"/>
      <c r="AA27" s="680"/>
      <c r="AB27" s="681"/>
      <c r="AC27" s="248"/>
      <c r="AD27" s="249"/>
    </row>
    <row r="28" spans="3:30" ht="12" customHeight="1">
      <c r="C28" s="238"/>
      <c r="W28" s="657"/>
      <c r="X28" s="658"/>
      <c r="Y28" s="475"/>
      <c r="Z28" s="476"/>
      <c r="AA28" s="680"/>
      <c r="AB28" s="681"/>
      <c r="AC28" s="248"/>
      <c r="AD28" s="249"/>
    </row>
    <row r="29" spans="3:30" ht="12" customHeight="1">
      <c r="C29" s="238"/>
      <c r="W29" s="657"/>
      <c r="X29" s="658"/>
      <c r="Y29" s="475"/>
      <c r="Z29" s="476"/>
      <c r="AA29" s="680"/>
      <c r="AB29" s="681"/>
      <c r="AC29" s="248"/>
      <c r="AD29" s="249"/>
    </row>
    <row r="30" spans="3:30" ht="12" customHeight="1">
      <c r="C30" s="238"/>
      <c r="W30" s="473"/>
      <c r="X30" s="474"/>
      <c r="Y30" s="475"/>
      <c r="Z30" s="476"/>
      <c r="AA30" s="680"/>
      <c r="AB30" s="681"/>
      <c r="AC30" s="248"/>
      <c r="AD30" s="249"/>
    </row>
    <row r="31" spans="3:30" ht="12" customHeight="1">
      <c r="C31" s="238"/>
      <c r="U31" s="250"/>
      <c r="W31" s="657"/>
      <c r="X31" s="658"/>
      <c r="Y31" s="475"/>
      <c r="Z31" s="476"/>
      <c r="AA31" s="680"/>
      <c r="AB31" s="681"/>
      <c r="AC31" s="248"/>
      <c r="AD31" s="249"/>
    </row>
    <row r="32" spans="3:30" ht="12" customHeight="1">
      <c r="C32" s="238"/>
      <c r="U32" s="250"/>
      <c r="W32" s="665"/>
      <c r="X32" s="666"/>
      <c r="Y32" s="246"/>
      <c r="Z32" s="476"/>
      <c r="AA32" s="680"/>
      <c r="AB32" s="681"/>
      <c r="AC32" s="248"/>
      <c r="AD32" s="249"/>
    </row>
    <row r="33" spans="3:30" ht="12" customHeight="1">
      <c r="C33" s="238"/>
      <c r="W33" s="657"/>
      <c r="X33" s="658"/>
      <c r="Y33" s="475"/>
      <c r="Z33" s="476"/>
      <c r="AA33" s="659"/>
      <c r="AB33" s="659"/>
      <c r="AC33" s="248"/>
      <c r="AD33" s="249"/>
    </row>
    <row r="34" spans="3:30" ht="12" customHeight="1">
      <c r="C34" s="238"/>
      <c r="W34" s="473"/>
      <c r="X34" s="474"/>
      <c r="Y34" s="246"/>
      <c r="Z34" s="476"/>
      <c r="AA34" s="659"/>
      <c r="AB34" s="659"/>
      <c r="AC34" s="248"/>
      <c r="AD34" s="249"/>
    </row>
    <row r="35" spans="3:30" ht="12" customHeight="1">
      <c r="C35" s="238"/>
      <c r="W35" s="657"/>
      <c r="X35" s="658"/>
      <c r="Y35" s="246"/>
      <c r="Z35" s="247"/>
      <c r="AA35" s="659"/>
      <c r="AB35" s="659"/>
      <c r="AC35" s="248"/>
      <c r="AD35" s="249"/>
    </row>
    <row r="36" spans="3:30" ht="12" customHeight="1">
      <c r="C36" s="238"/>
      <c r="W36" s="657"/>
      <c r="X36" s="658"/>
      <c r="Y36" s="475"/>
      <c r="Z36" s="476"/>
      <c r="AA36" s="659"/>
      <c r="AB36" s="659"/>
      <c r="AC36" s="248"/>
      <c r="AD36" s="249"/>
    </row>
    <row r="37" spans="3:30" ht="12" customHeight="1">
      <c r="C37" s="238"/>
      <c r="W37" s="660"/>
      <c r="X37" s="661"/>
      <c r="Y37" s="246"/>
      <c r="Z37" s="476"/>
      <c r="AA37" s="662"/>
      <c r="AB37" s="662"/>
      <c r="AC37" s="251"/>
      <c r="AD37" s="252"/>
    </row>
    <row r="38" spans="3:30" ht="12" customHeight="1">
      <c r="C38" s="238"/>
      <c r="W38" s="660"/>
      <c r="X38" s="661"/>
      <c r="Y38" s="253"/>
      <c r="Z38" s="247"/>
      <c r="AA38" s="663"/>
      <c r="AB38" s="664"/>
      <c r="AC38" s="251"/>
      <c r="AD38" s="252"/>
    </row>
    <row r="39" spans="3:30" ht="12" customHeight="1">
      <c r="C39" s="238"/>
      <c r="W39" s="660"/>
      <c r="X39" s="661"/>
      <c r="Y39" s="253"/>
      <c r="Z39" s="254"/>
      <c r="AA39" s="653"/>
      <c r="AB39" s="654"/>
      <c r="AC39" s="251"/>
      <c r="AD39" s="252"/>
    </row>
    <row r="40" spans="3:30" ht="12" customHeight="1">
      <c r="C40" s="238"/>
      <c r="W40" s="649"/>
      <c r="X40" s="650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51"/>
      <c r="X41" s="652"/>
      <c r="Y41" s="257"/>
      <c r="Z41" s="258"/>
      <c r="AA41" s="653"/>
      <c r="AB41" s="654"/>
      <c r="AC41" s="251"/>
      <c r="AD41" s="252"/>
    </row>
    <row r="42" spans="3:30" ht="12" customHeight="1">
      <c r="C42" s="238"/>
      <c r="W42" s="655" t="s">
        <v>1454</v>
      </c>
      <c r="X42" s="656"/>
      <c r="Y42" s="656"/>
      <c r="Z42" s="656"/>
      <c r="AA42" s="259"/>
      <c r="AB42" s="259"/>
      <c r="AC42" s="259"/>
      <c r="AD42" s="260"/>
    </row>
    <row r="43" spans="3:30" ht="12" customHeight="1">
      <c r="C43" s="238"/>
      <c r="E43" s="482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 ht="12" customHeight="1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34" t="s">
        <v>11</v>
      </c>
      <c r="X44" s="635"/>
      <c r="Y44" s="637"/>
      <c r="Z44" s="637"/>
      <c r="AA44" s="637"/>
      <c r="AB44" s="637"/>
      <c r="AC44" s="637"/>
      <c r="AD44" s="638"/>
    </row>
    <row r="45" spans="3:30" ht="12" customHeight="1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34" t="s">
        <v>983</v>
      </c>
      <c r="X45" s="635"/>
      <c r="Y45" s="637">
        <v>1</v>
      </c>
      <c r="Z45" s="637"/>
      <c r="AA45" s="637"/>
      <c r="AB45" s="637" t="s">
        <v>12</v>
      </c>
      <c r="AC45" s="637"/>
      <c r="AD45" s="267" t="s">
        <v>13</v>
      </c>
    </row>
    <row r="46" spans="3:30" ht="12" customHeight="1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34" t="s">
        <v>15</v>
      </c>
      <c r="X46" s="635"/>
      <c r="Y46" s="648"/>
      <c r="Z46" s="648"/>
      <c r="AA46" s="648"/>
      <c r="AB46" s="637" t="s">
        <v>16</v>
      </c>
      <c r="AC46" s="637"/>
      <c r="AD46" s="268"/>
    </row>
    <row r="47" spans="3:30" ht="12" customHeight="1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42" t="s">
        <v>17</v>
      </c>
      <c r="X47" s="642"/>
      <c r="Y47" s="642"/>
      <c r="Z47" s="642"/>
      <c r="AA47" s="642"/>
      <c r="AB47" s="642"/>
      <c r="AC47" s="642"/>
      <c r="AD47" s="643"/>
    </row>
    <row r="48" spans="3:30" ht="12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44" t="str">
        <f>RAB!G6</f>
        <v>CRBC WIKA-PP JO</v>
      </c>
      <c r="X48" s="644"/>
      <c r="Y48" s="644"/>
      <c r="Z48" s="644"/>
      <c r="AA48" s="644"/>
      <c r="AB48" s="644"/>
      <c r="AC48" s="644"/>
      <c r="AD48" s="645"/>
    </row>
    <row r="49" spans="3:30" ht="12" customHeight="1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44"/>
      <c r="X49" s="644"/>
      <c r="Y49" s="644"/>
      <c r="Z49" s="644"/>
      <c r="AA49" s="644"/>
      <c r="AB49" s="644"/>
      <c r="AC49" s="644"/>
      <c r="AD49" s="645"/>
    </row>
    <row r="50" spans="3:30" ht="12" customHeight="1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44"/>
      <c r="X50" s="644"/>
      <c r="Y50" s="644"/>
      <c r="Z50" s="644"/>
      <c r="AA50" s="644"/>
      <c r="AB50" s="644"/>
      <c r="AC50" s="644"/>
      <c r="AD50" s="645"/>
    </row>
    <row r="51" spans="3:30" ht="12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46"/>
      <c r="X51" s="646"/>
      <c r="Y51" s="646"/>
      <c r="Z51" s="646"/>
      <c r="AA51" s="646"/>
      <c r="AB51" s="646"/>
      <c r="AC51" s="646"/>
      <c r="AD51" s="647"/>
    </row>
    <row r="52" spans="3:30" ht="12" customHeight="1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34" t="s">
        <v>18</v>
      </c>
      <c r="X52" s="635"/>
      <c r="Y52" s="637" t="s">
        <v>1628</v>
      </c>
      <c r="Z52" s="637"/>
      <c r="AA52" s="637"/>
      <c r="AB52" s="637"/>
      <c r="AC52" s="637"/>
      <c r="AD52" s="638"/>
    </row>
    <row r="53" spans="3:30" ht="12" customHeight="1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34" t="s">
        <v>19</v>
      </c>
      <c r="X53" s="635"/>
      <c r="Y53" s="637" t="s">
        <v>1629</v>
      </c>
      <c r="Z53" s="637"/>
      <c r="AA53" s="637"/>
      <c r="AB53" s="637"/>
      <c r="AC53" s="637"/>
      <c r="AD53" s="638"/>
    </row>
    <row r="54" spans="3:30" ht="12" customHeight="1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34" t="s">
        <v>20</v>
      </c>
      <c r="X54" s="635"/>
      <c r="Y54" s="636" t="s">
        <v>1630</v>
      </c>
      <c r="Z54" s="636"/>
      <c r="AA54" s="636"/>
      <c r="AB54" s="637"/>
      <c r="AC54" s="637"/>
      <c r="AD54" s="638"/>
    </row>
    <row r="55" spans="3:30" ht="12" customHeight="1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39" t="s">
        <v>21</v>
      </c>
      <c r="X55" s="640"/>
      <c r="Y55" s="636" t="s">
        <v>1631</v>
      </c>
      <c r="Z55" s="636"/>
      <c r="AA55" s="636"/>
      <c r="AB55" s="636"/>
      <c r="AC55" s="636"/>
      <c r="AD55" s="641"/>
    </row>
    <row r="56" spans="3:30" ht="15.75" customHeight="1"/>
  </sheetData>
  <mergeCells count="108"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W26:X26"/>
    <mergeCell ref="W27:X27"/>
    <mergeCell ref="W28:X28"/>
    <mergeCell ref="W29:X29"/>
    <mergeCell ref="W31:X31"/>
    <mergeCell ref="W32:X32"/>
    <mergeCell ref="W25:X25"/>
    <mergeCell ref="W20:AD20"/>
    <mergeCell ref="W21:Z21"/>
    <mergeCell ref="AA21:AD21"/>
    <mergeCell ref="W22:X22"/>
    <mergeCell ref="AA22:AB22"/>
    <mergeCell ref="W23:X23"/>
    <mergeCell ref="AA23:AB23"/>
    <mergeCell ref="AA30:AB30"/>
    <mergeCell ref="AA31:AB31"/>
    <mergeCell ref="AA32:AB32"/>
    <mergeCell ref="AA27:AB27"/>
    <mergeCell ref="AA28:AB28"/>
    <mergeCell ref="AA29:AB29"/>
    <mergeCell ref="AA24:AB24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25" right="0.25" top="0.75" bottom="0.75" header="0.3" footer="0.3"/>
  <pageSetup paperSize="9" scale="70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16" zoomScale="55" zoomScaleNormal="55" zoomScaleSheetLayoutView="55" workbookViewId="0">
      <selection activeCell="N28" sqref="N28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2" t="s">
        <v>1526</v>
      </c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4"/>
      <c r="AD4" s="217"/>
      <c r="AE4" s="216"/>
      <c r="AF4" s="216"/>
    </row>
    <row r="5" spans="2:32" ht="13.5" customHeight="1">
      <c r="B5" s="215"/>
      <c r="C5" s="215"/>
      <c r="D5" s="695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6"/>
      <c r="AC5" s="697"/>
      <c r="AD5" s="217"/>
      <c r="AE5" s="216"/>
      <c r="AF5" s="216"/>
    </row>
    <row r="6" spans="2:32" ht="12.75" customHeight="1">
      <c r="B6" s="215"/>
      <c r="C6" s="215"/>
      <c r="D6" s="695"/>
      <c r="E6" s="696"/>
      <c r="F6" s="696"/>
      <c r="G6" s="696"/>
      <c r="H6" s="696"/>
      <c r="I6" s="696"/>
      <c r="J6" s="696"/>
      <c r="K6" s="696"/>
      <c r="L6" s="696"/>
      <c r="M6" s="696"/>
      <c r="N6" s="696"/>
      <c r="O6" s="696"/>
      <c r="P6" s="696"/>
      <c r="Q6" s="696"/>
      <c r="R6" s="696"/>
      <c r="S6" s="696"/>
      <c r="T6" s="696"/>
      <c r="U6" s="696"/>
      <c r="V6" s="696"/>
      <c r="W6" s="696"/>
      <c r="X6" s="696"/>
      <c r="Y6" s="696"/>
      <c r="Z6" s="696"/>
      <c r="AA6" s="696"/>
      <c r="AB6" s="696"/>
      <c r="AC6" s="697"/>
      <c r="AE6" s="216"/>
      <c r="AF6" s="216"/>
    </row>
    <row r="7" spans="2:32" ht="12.75" customHeight="1" thickBot="1">
      <c r="B7" s="215"/>
      <c r="C7" s="215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  <c r="AA7" s="699"/>
      <c r="AB7" s="699"/>
      <c r="AC7" s="70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30" zoomScale="55" zoomScaleNormal="40" zoomScaleSheetLayoutView="55" workbookViewId="0">
      <selection activeCell="W55" sqref="A1:W55"/>
    </sheetView>
  </sheetViews>
  <sheetFormatPr defaultRowHeight="12.75"/>
  <cols>
    <col min="1" max="1" width="1.7109375" style="410" customWidth="1"/>
    <col min="2" max="2" width="10.7109375" style="410" customWidth="1"/>
    <col min="3" max="3" width="2.5703125" style="410" customWidth="1"/>
    <col min="4" max="20" width="9.140625" style="410"/>
    <col min="21" max="21" width="14.5703125" style="410" customWidth="1"/>
    <col min="22" max="22" width="3.140625" style="410" customWidth="1"/>
    <col min="23" max="26" width="9.140625" style="410"/>
    <col min="27" max="27" width="2.85546875" style="410" customWidth="1"/>
    <col min="28" max="30" width="4.7109375" style="410" customWidth="1"/>
    <col min="31" max="31" width="1.7109375" style="410" customWidth="1"/>
    <col min="32" max="16384" width="9.140625" style="410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6" t="s">
        <v>1525</v>
      </c>
      <c r="D3" s="696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182"/>
      <c r="X3" s="421"/>
      <c r="Y3" s="421"/>
      <c r="Z3" s="421"/>
      <c r="AA3" s="421"/>
      <c r="AB3" s="421"/>
      <c r="AC3" s="411"/>
    </row>
    <row r="4" spans="1:29" ht="18.75" customHeight="1">
      <c r="A4" s="181"/>
      <c r="C4" s="696"/>
      <c r="D4" s="696"/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182"/>
      <c r="X4" s="421"/>
      <c r="Y4" s="421"/>
      <c r="Z4" s="421"/>
      <c r="AA4" s="421"/>
      <c r="AB4" s="421"/>
      <c r="AC4" s="411"/>
    </row>
    <row r="5" spans="1:29" ht="12.75" customHeight="1">
      <c r="A5" s="181"/>
      <c r="C5" s="412"/>
      <c r="W5" s="182"/>
    </row>
    <row r="6" spans="1:29" ht="12.75" customHeight="1">
      <c r="A6" s="181"/>
      <c r="C6" s="701" t="s">
        <v>1622</v>
      </c>
      <c r="D6" s="702"/>
      <c r="E6" s="702"/>
      <c r="F6" s="702"/>
      <c r="G6" s="702"/>
      <c r="H6" s="702"/>
      <c r="I6" s="702"/>
      <c r="J6" s="702"/>
      <c r="K6" s="702"/>
      <c r="L6" s="702"/>
      <c r="M6" s="702"/>
      <c r="W6" s="182"/>
      <c r="Y6" s="413"/>
      <c r="Z6" s="413"/>
      <c r="AA6" s="413"/>
      <c r="AB6" s="414"/>
      <c r="AC6" s="414"/>
    </row>
    <row r="7" spans="1:29" ht="18" customHeight="1">
      <c r="A7" s="181"/>
      <c r="C7" s="702"/>
      <c r="D7" s="702"/>
      <c r="E7" s="702"/>
      <c r="F7" s="702"/>
      <c r="G7" s="702"/>
      <c r="H7" s="702"/>
      <c r="I7" s="702"/>
      <c r="J7" s="702"/>
      <c r="K7" s="702"/>
      <c r="L7" s="702"/>
      <c r="M7" s="702"/>
      <c r="W7" s="182"/>
      <c r="Y7" s="413"/>
      <c r="Z7" s="413"/>
      <c r="AA7" s="413"/>
      <c r="AB7" s="414"/>
      <c r="AC7" s="414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5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16"/>
      <c r="S54" s="416"/>
      <c r="T54" s="416"/>
      <c r="U54" s="417"/>
      <c r="V54" s="417"/>
      <c r="W54" s="183"/>
      <c r="X54" s="417"/>
      <c r="Y54" s="417"/>
      <c r="Z54" s="417"/>
      <c r="AA54" s="417"/>
      <c r="AB54" s="417"/>
      <c r="AC54" s="417"/>
      <c r="AD54" s="417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2"/>
      <c r="S55" s="423"/>
      <c r="T55" s="423"/>
      <c r="U55" s="186"/>
      <c r="V55" s="187"/>
      <c r="W55" s="188"/>
      <c r="X55" s="417"/>
      <c r="Y55" s="417"/>
      <c r="Z55" s="417"/>
      <c r="AA55" s="418"/>
      <c r="AB55" s="418"/>
      <c r="AC55" s="418"/>
      <c r="AD55" s="418"/>
    </row>
    <row r="56" spans="1:30">
      <c r="U56" s="417"/>
      <c r="V56" s="418"/>
      <c r="W56" s="417"/>
      <c r="X56" s="417"/>
      <c r="Y56" s="417"/>
      <c r="Z56" s="417"/>
      <c r="AA56" s="418"/>
      <c r="AB56" s="417"/>
      <c r="AC56" s="417"/>
      <c r="AD56" s="417"/>
    </row>
    <row r="57" spans="1:30">
      <c r="U57" s="417"/>
      <c r="V57" s="418"/>
      <c r="W57" s="417"/>
      <c r="X57" s="417"/>
      <c r="Y57" s="417"/>
      <c r="Z57" s="417"/>
      <c r="AA57" s="417"/>
      <c r="AB57" s="417"/>
      <c r="AC57" s="417"/>
      <c r="AD57" s="417"/>
    </row>
    <row r="58" spans="1:30">
      <c r="U58" s="417"/>
      <c r="V58" s="418"/>
      <c r="W58" s="417"/>
      <c r="X58" s="417"/>
      <c r="Y58" s="417"/>
      <c r="Z58" s="417"/>
      <c r="AA58" s="417"/>
      <c r="AB58" s="417"/>
      <c r="AC58" s="417"/>
      <c r="AD58" s="417"/>
    </row>
    <row r="59" spans="1:30">
      <c r="U59" s="417"/>
      <c r="V59" s="418"/>
      <c r="W59" s="417"/>
      <c r="X59" s="417"/>
      <c r="Y59" s="417"/>
      <c r="Z59" s="417"/>
      <c r="AA59" s="417"/>
      <c r="AB59" s="417"/>
      <c r="AC59" s="417"/>
      <c r="AD59" s="417"/>
    </row>
    <row r="60" spans="1:30">
      <c r="U60" s="417"/>
      <c r="V60" s="418"/>
      <c r="W60" s="417"/>
      <c r="X60" s="417"/>
      <c r="Y60" s="417"/>
      <c r="Z60" s="417"/>
      <c r="AA60" s="418"/>
      <c r="AB60" s="417"/>
      <c r="AC60" s="417"/>
      <c r="AD60" s="417"/>
    </row>
    <row r="61" spans="1:30">
      <c r="U61" s="417"/>
      <c r="V61" s="418"/>
      <c r="W61" s="417"/>
      <c r="X61" s="417"/>
      <c r="Y61" s="417"/>
      <c r="Z61" s="417"/>
      <c r="AA61" s="417"/>
      <c r="AB61" s="417"/>
      <c r="AC61" s="417"/>
      <c r="AD61" s="417"/>
    </row>
    <row r="62" spans="1:30">
      <c r="U62" s="417"/>
      <c r="V62" s="418"/>
      <c r="W62" s="417"/>
      <c r="X62" s="417"/>
      <c r="Y62" s="417"/>
      <c r="Z62" s="417"/>
      <c r="AA62" s="417"/>
      <c r="AB62" s="417"/>
      <c r="AC62" s="417"/>
      <c r="AD62" s="417"/>
    </row>
    <row r="63" spans="1:30">
      <c r="U63" s="417"/>
      <c r="V63" s="418"/>
      <c r="W63" s="417"/>
      <c r="X63" s="417"/>
      <c r="Y63" s="417"/>
      <c r="Z63" s="417"/>
      <c r="AA63" s="417"/>
      <c r="AB63" s="417"/>
      <c r="AC63" s="417"/>
      <c r="AD63" s="417"/>
    </row>
    <row r="64" spans="1:30">
      <c r="U64" s="417"/>
      <c r="V64" s="418"/>
      <c r="W64" s="417"/>
      <c r="X64" s="417"/>
      <c r="Y64" s="417"/>
      <c r="Z64" s="417"/>
      <c r="AA64" s="417"/>
      <c r="AB64" s="417"/>
      <c r="AC64" s="417"/>
      <c r="AD64" s="417"/>
    </row>
    <row r="65" spans="5:30">
      <c r="U65" s="417"/>
      <c r="V65" s="418"/>
      <c r="W65" s="417"/>
      <c r="X65" s="417"/>
      <c r="Y65" s="417"/>
      <c r="Z65" s="417"/>
      <c r="AA65" s="417"/>
      <c r="AB65" s="417"/>
      <c r="AC65" s="417"/>
      <c r="AD65" s="417"/>
    </row>
    <row r="66" spans="5:30" ht="6" customHeight="1"/>
    <row r="73" spans="5:30">
      <c r="M73" s="419"/>
    </row>
    <row r="74" spans="5:30" ht="15" customHeight="1">
      <c r="E74" s="420"/>
      <c r="M74" s="419"/>
    </row>
    <row r="75" spans="5:30" ht="15" customHeight="1">
      <c r="E75" s="420"/>
      <c r="M75" s="419"/>
    </row>
    <row r="76" spans="5:30" ht="15" customHeight="1">
      <c r="E76" s="420"/>
      <c r="M76" s="419"/>
    </row>
    <row r="77" spans="5:30" ht="15" customHeight="1">
      <c r="E77" s="420"/>
      <c r="M77" s="419"/>
    </row>
    <row r="78" spans="5:30" ht="15" customHeight="1">
      <c r="E78" s="420"/>
      <c r="M78" s="419"/>
    </row>
    <row r="79" spans="5:30" ht="15" customHeight="1">
      <c r="E79" s="420"/>
      <c r="M79" s="419"/>
    </row>
    <row r="80" spans="5:30" ht="15" customHeight="1">
      <c r="E80" s="420"/>
      <c r="M80" s="419"/>
    </row>
    <row r="81" spans="5:13" ht="15" customHeight="1">
      <c r="E81" s="420"/>
      <c r="M81" s="419"/>
    </row>
    <row r="82" spans="5:13" ht="15" customHeight="1">
      <c r="E82" s="420"/>
      <c r="M82" s="419"/>
    </row>
    <row r="83" spans="5:13" ht="15" customHeight="1">
      <c r="E83" s="420"/>
      <c r="M83" s="419"/>
    </row>
    <row r="84" spans="5:13" ht="15" customHeight="1">
      <c r="E84" s="420"/>
      <c r="M84" s="419"/>
    </row>
    <row r="85" spans="5:13" ht="15" customHeight="1">
      <c r="E85" s="420"/>
      <c r="M85" s="419"/>
    </row>
    <row r="86" spans="5:13" ht="15" customHeight="1">
      <c r="E86" s="420"/>
      <c r="M86" s="419"/>
    </row>
    <row r="87" spans="5:13" ht="15" customHeight="1">
      <c r="E87" s="420"/>
      <c r="M87" s="419"/>
    </row>
    <row r="88" spans="5:13" ht="15" customHeight="1">
      <c r="E88" s="420"/>
      <c r="M88" s="419"/>
    </row>
    <row r="89" spans="5:13" ht="15" customHeight="1">
      <c r="E89" s="420"/>
      <c r="M89" s="419"/>
    </row>
    <row r="90" spans="5:13" ht="15" customHeight="1">
      <c r="E90" s="420"/>
      <c r="M90" s="419"/>
    </row>
    <row r="91" spans="5:13" ht="15" customHeight="1">
      <c r="E91" s="420"/>
      <c r="M91" s="419"/>
    </row>
    <row r="92" spans="5:13" ht="15" customHeight="1">
      <c r="E92" s="420"/>
      <c r="M92" s="419"/>
    </row>
    <row r="93" spans="5:13" ht="15" customHeight="1">
      <c r="E93" s="420"/>
      <c r="M93" s="419"/>
    </row>
    <row r="94" spans="5:13" ht="15" customHeight="1">
      <c r="E94" s="420"/>
      <c r="M94" s="419"/>
    </row>
    <row r="95" spans="5:13" ht="15" customHeight="1">
      <c r="E95" s="420"/>
      <c r="M95" s="419"/>
    </row>
    <row r="96" spans="5:13" ht="15" customHeight="1">
      <c r="E96" s="420"/>
    </row>
    <row r="97" spans="5:5" ht="15" customHeight="1">
      <c r="E97" s="420"/>
    </row>
    <row r="98" spans="5:5" ht="15" customHeight="1">
      <c r="E98" s="420"/>
    </row>
    <row r="99" spans="5:5" ht="15" customHeight="1">
      <c r="E99" s="420"/>
    </row>
    <row r="100" spans="5:5" ht="15" customHeight="1">
      <c r="E100" s="420"/>
    </row>
    <row r="101" spans="5:5" ht="15" customHeight="1">
      <c r="E101" s="420"/>
    </row>
    <row r="102" spans="5:5" ht="15" customHeight="1">
      <c r="E102" s="420"/>
    </row>
    <row r="103" spans="5:5" ht="15" customHeight="1">
      <c r="E103" s="420"/>
    </row>
    <row r="104" spans="5:5" ht="15" customHeight="1">
      <c r="E104" s="420"/>
    </row>
    <row r="105" spans="5:5" ht="15" customHeight="1">
      <c r="E105" s="420"/>
    </row>
    <row r="106" spans="5:5" ht="15" customHeight="1">
      <c r="E106" s="420"/>
    </row>
    <row r="107" spans="5:5" ht="15" customHeight="1">
      <c r="E107" s="420"/>
    </row>
    <row r="108" spans="5:5" ht="15" customHeight="1">
      <c r="E108" s="420"/>
    </row>
    <row r="109" spans="5:5" ht="15" customHeight="1">
      <c r="E109" s="420"/>
    </row>
    <row r="110" spans="5:5" ht="15" customHeight="1">
      <c r="E110" s="420"/>
    </row>
    <row r="111" spans="5:5" ht="15" customHeight="1">
      <c r="E111" s="420"/>
    </row>
    <row r="112" spans="5:5" ht="15" customHeight="1">
      <c r="E112" s="420"/>
    </row>
    <row r="113" spans="5:5" ht="15" customHeight="1">
      <c r="E113" s="420"/>
    </row>
    <row r="114" spans="5:5" ht="15" customHeight="1">
      <c r="E114" s="420"/>
    </row>
    <row r="115" spans="5:5" ht="15" customHeight="1">
      <c r="E115" s="420"/>
    </row>
    <row r="116" spans="5:5" ht="15" customHeight="1">
      <c r="E116" s="420"/>
    </row>
    <row r="117" spans="5:5" ht="15" customHeight="1">
      <c r="E117" s="420"/>
    </row>
    <row r="118" spans="5:5" ht="15" customHeight="1">
      <c r="E118" s="420"/>
    </row>
    <row r="119" spans="5:5" ht="15" customHeight="1">
      <c r="E119" s="420"/>
    </row>
    <row r="120" spans="5:5">
      <c r="E120" s="420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2">
        <v>1</v>
      </c>
    </row>
    <row r="2" spans="1:11" ht="48" customHeight="1">
      <c r="A2" s="442">
        <v>3</v>
      </c>
    </row>
    <row r="4" spans="1:11" ht="48" customHeight="1">
      <c r="C4" s="442">
        <v>1</v>
      </c>
    </row>
    <row r="5" spans="1:11" ht="48" customHeight="1">
      <c r="C5" s="442">
        <v>3</v>
      </c>
    </row>
    <row r="7" spans="1:11" ht="48" customHeight="1">
      <c r="E7" s="442">
        <v>1</v>
      </c>
    </row>
    <row r="8" spans="1:11" ht="48" customHeight="1">
      <c r="E8" s="442">
        <v>3</v>
      </c>
    </row>
    <row r="10" spans="1:11" ht="48" customHeight="1">
      <c r="G10" s="442">
        <v>3</v>
      </c>
    </row>
    <row r="11" spans="1:11" ht="48" customHeight="1">
      <c r="G11" s="442">
        <v>1</v>
      </c>
    </row>
    <row r="13" spans="1:11" ht="48" customHeight="1">
      <c r="I13" s="442">
        <v>3</v>
      </c>
    </row>
    <row r="14" spans="1:11" ht="48" customHeight="1">
      <c r="I14" s="442">
        <v>1</v>
      </c>
    </row>
    <row r="16" spans="1:11" ht="48" customHeight="1">
      <c r="K16" s="442">
        <v>3</v>
      </c>
    </row>
    <row r="17" spans="11:21" ht="48" customHeight="1">
      <c r="K17" s="442">
        <v>1</v>
      </c>
    </row>
    <row r="19" spans="11:21" ht="48" customHeight="1">
      <c r="M19" s="442">
        <v>3</v>
      </c>
    </row>
    <row r="20" spans="11:21" ht="48" customHeight="1">
      <c r="M20" s="442">
        <v>1</v>
      </c>
    </row>
    <row r="22" spans="11:21" ht="48" customHeight="1">
      <c r="O22" s="442">
        <v>3</v>
      </c>
    </row>
    <row r="23" spans="11:21" ht="48" customHeight="1">
      <c r="O23" s="442">
        <v>1</v>
      </c>
    </row>
    <row r="25" spans="11:21" ht="57" customHeight="1">
      <c r="Q25" s="442">
        <v>3</v>
      </c>
    </row>
    <row r="26" spans="11:21" ht="57" customHeight="1">
      <c r="Q26" s="442">
        <v>1</v>
      </c>
    </row>
    <row r="28" spans="11:21" ht="57" customHeight="1">
      <c r="S28" s="442">
        <v>3</v>
      </c>
    </row>
    <row r="29" spans="11:21" ht="57" customHeight="1">
      <c r="S29" s="442">
        <v>1</v>
      </c>
    </row>
    <row r="31" spans="11:21" ht="57" customHeight="1">
      <c r="U31" s="442">
        <v>3</v>
      </c>
    </row>
    <row r="32" spans="11:21" ht="57" customHeight="1">
      <c r="U32" s="44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Administrator</cp:lastModifiedBy>
  <cp:lastPrinted>2023-10-25T01:36:29Z</cp:lastPrinted>
  <dcterms:created xsi:type="dcterms:W3CDTF">2011-02-06T11:57:38Z</dcterms:created>
  <dcterms:modified xsi:type="dcterms:W3CDTF">2023-10-25T01:37:01Z</dcterms:modified>
</cp:coreProperties>
</file>