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3\2. PP\4. PBPD\MoM\C. BP KURANG  DR INVESTASI (PP DIATAS 5 TH)\NOV\RUMAH POMPA LOIRENG\"/>
    </mc:Choice>
  </mc:AlternateContent>
  <xr:revisionPtr revIDLastSave="0" documentId="13_ncr:1_{3337899C-8CF0-4473-8218-1F65F561D8B3}" xr6:coauthVersionLast="47" xr6:coauthVersionMax="47" xr10:uidLastSave="{00000000-0000-0000-0000-000000000000}"/>
  <bookViews>
    <workbookView xWindow="-120" yWindow="-120" windowWidth="24240" windowHeight="13140" tabRatio="859" firstSheet="1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RAB!$A$1:$K$89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D45" i="11"/>
  <c r="J45" i="11" s="1"/>
  <c r="E45" i="11"/>
  <c r="G45" i="11"/>
  <c r="D47" i="11"/>
  <c r="J47" i="11" s="1"/>
  <c r="E47" i="11"/>
  <c r="G47" i="11"/>
  <c r="D48" i="11"/>
  <c r="H48" i="11" s="1"/>
  <c r="E48" i="11"/>
  <c r="G48" i="11"/>
  <c r="D49" i="11"/>
  <c r="H49" i="11" s="1"/>
  <c r="E49" i="11"/>
  <c r="G49" i="11"/>
  <c r="J48" i="11" l="1"/>
  <c r="I48" i="11"/>
  <c r="H45" i="11"/>
  <c r="I45" i="11"/>
  <c r="I49" i="11"/>
  <c r="J49" i="11"/>
  <c r="H47" i="11"/>
  <c r="I47" i="11"/>
  <c r="K48" i="11" l="1"/>
  <c r="K45" i="11"/>
  <c r="K49" i="11"/>
  <c r="K47" i="11"/>
  <c r="F64" i="11" l="1"/>
  <c r="F63" i="11"/>
  <c r="F62" i="11"/>
  <c r="F61" i="11"/>
  <c r="F60" i="11"/>
  <c r="F59" i="11"/>
  <c r="F58" i="11"/>
  <c r="F55" i="11"/>
  <c r="F54" i="11"/>
  <c r="F53" i="11"/>
  <c r="F52" i="11"/>
  <c r="D57" i="11" l="1"/>
  <c r="J57" i="11" s="1"/>
  <c r="E57" i="11"/>
  <c r="G57" i="11"/>
  <c r="D58" i="11"/>
  <c r="J58" i="11" s="1"/>
  <c r="E58" i="11"/>
  <c r="G58" i="11"/>
  <c r="D59" i="11"/>
  <c r="H59" i="11" s="1"/>
  <c r="E59" i="11"/>
  <c r="G59" i="11"/>
  <c r="D60" i="11"/>
  <c r="H60" i="11" s="1"/>
  <c r="E60" i="11"/>
  <c r="G60" i="11"/>
  <c r="D61" i="11"/>
  <c r="J61" i="11" s="1"/>
  <c r="E61" i="11"/>
  <c r="G61" i="11"/>
  <c r="D62" i="11"/>
  <c r="J62" i="11" s="1"/>
  <c r="E62" i="11"/>
  <c r="G62" i="11"/>
  <c r="D63" i="11"/>
  <c r="H63" i="11" s="1"/>
  <c r="E63" i="11"/>
  <c r="G63" i="11"/>
  <c r="D64" i="11"/>
  <c r="H64" i="11" s="1"/>
  <c r="E64" i="11"/>
  <c r="G64" i="11"/>
  <c r="D65" i="11"/>
  <c r="J65" i="11" s="1"/>
  <c r="E65" i="11"/>
  <c r="G65" i="11"/>
  <c r="D66" i="11"/>
  <c r="J66" i="11" s="1"/>
  <c r="E66" i="11"/>
  <c r="G66" i="11"/>
  <c r="D50" i="11"/>
  <c r="J50" i="11" s="1"/>
  <c r="E50" i="11"/>
  <c r="G50" i="11"/>
  <c r="G39" i="11"/>
  <c r="G40" i="11"/>
  <c r="G41" i="11"/>
  <c r="G42" i="11"/>
  <c r="G43" i="11"/>
  <c r="G44" i="11"/>
  <c r="D39" i="11"/>
  <c r="H39" i="11" s="1"/>
  <c r="E39" i="11"/>
  <c r="D40" i="11"/>
  <c r="J40" i="11" s="1"/>
  <c r="E40" i="11"/>
  <c r="D41" i="11"/>
  <c r="I41" i="11" s="1"/>
  <c r="E41" i="11"/>
  <c r="D42" i="11"/>
  <c r="E42" i="11"/>
  <c r="D43" i="11"/>
  <c r="H43" i="11" s="1"/>
  <c r="E43" i="11"/>
  <c r="D44" i="11"/>
  <c r="E44" i="11"/>
  <c r="F38" i="11"/>
  <c r="F37" i="11"/>
  <c r="F36" i="11"/>
  <c r="F35" i="11"/>
  <c r="F34" i="11"/>
  <c r="F31" i="11"/>
  <c r="F30" i="11"/>
  <c r="F29" i="11"/>
  <c r="F28" i="11"/>
  <c r="F27" i="11"/>
  <c r="F24" i="11"/>
  <c r="F23" i="11"/>
  <c r="F22" i="11"/>
  <c r="F21" i="11"/>
  <c r="F20" i="11"/>
  <c r="F43" i="11"/>
  <c r="D21" i="59"/>
  <c r="K6" i="60"/>
  <c r="D68" i="11"/>
  <c r="J68" i="11" s="1"/>
  <c r="E68" i="11"/>
  <c r="G68" i="11"/>
  <c r="D51" i="11"/>
  <c r="H51" i="11" s="1"/>
  <c r="E51" i="11"/>
  <c r="G51" i="11"/>
  <c r="D52" i="11"/>
  <c r="I52" i="11" s="1"/>
  <c r="E52" i="11"/>
  <c r="G52" i="11"/>
  <c r="D53" i="11"/>
  <c r="J53" i="11" s="1"/>
  <c r="E53" i="11"/>
  <c r="G53" i="11"/>
  <c r="D54" i="11"/>
  <c r="J54" i="11" s="1"/>
  <c r="E54" i="11"/>
  <c r="G54" i="11"/>
  <c r="D55" i="11"/>
  <c r="E55" i="11"/>
  <c r="G55" i="11"/>
  <c r="D18" i="11"/>
  <c r="H18" i="11" s="1"/>
  <c r="E18" i="11"/>
  <c r="G18" i="11"/>
  <c r="D19" i="11"/>
  <c r="H19" i="11" s="1"/>
  <c r="E19" i="11"/>
  <c r="G19" i="11"/>
  <c r="D20" i="11"/>
  <c r="H20" i="11" s="1"/>
  <c r="E20" i="11"/>
  <c r="G20" i="11"/>
  <c r="D21" i="11"/>
  <c r="J21" i="11" s="1"/>
  <c r="E21" i="11"/>
  <c r="G21" i="11"/>
  <c r="D22" i="11"/>
  <c r="H22" i="11" s="1"/>
  <c r="E22" i="11"/>
  <c r="G22" i="11"/>
  <c r="D23" i="11"/>
  <c r="H23" i="11" s="1"/>
  <c r="E23" i="11"/>
  <c r="G23" i="11"/>
  <c r="D24" i="11"/>
  <c r="H24" i="11" s="1"/>
  <c r="E24" i="11"/>
  <c r="G24" i="11"/>
  <c r="D25" i="11"/>
  <c r="E25" i="11"/>
  <c r="G25" i="11"/>
  <c r="D26" i="11"/>
  <c r="J26" i="11" s="1"/>
  <c r="E26" i="11"/>
  <c r="G26" i="11"/>
  <c r="D27" i="11"/>
  <c r="H27" i="11" s="1"/>
  <c r="E27" i="11"/>
  <c r="G27" i="11"/>
  <c r="D28" i="11"/>
  <c r="H28" i="11" s="1"/>
  <c r="E28" i="11"/>
  <c r="G28" i="11"/>
  <c r="D29" i="11"/>
  <c r="J29" i="11" s="1"/>
  <c r="E29" i="11"/>
  <c r="G29" i="11"/>
  <c r="D30" i="11"/>
  <c r="H30" i="11" s="1"/>
  <c r="E30" i="11"/>
  <c r="G30" i="11"/>
  <c r="D31" i="11"/>
  <c r="H31" i="11" s="1"/>
  <c r="E31" i="11"/>
  <c r="G31" i="11"/>
  <c r="D32" i="11"/>
  <c r="H32" i="11" s="1"/>
  <c r="E32" i="11"/>
  <c r="G32" i="11"/>
  <c r="D33" i="11"/>
  <c r="J33" i="11" s="1"/>
  <c r="E33" i="11"/>
  <c r="G33" i="11"/>
  <c r="D34" i="11"/>
  <c r="H34" i="11" s="1"/>
  <c r="E34" i="11"/>
  <c r="G34" i="11"/>
  <c r="D35" i="11"/>
  <c r="H35" i="11" s="1"/>
  <c r="E35" i="11"/>
  <c r="G35" i="11"/>
  <c r="D36" i="11"/>
  <c r="J36" i="11" s="1"/>
  <c r="E36" i="11"/>
  <c r="G36" i="11"/>
  <c r="D37" i="11"/>
  <c r="E37" i="11"/>
  <c r="G37" i="11"/>
  <c r="D38" i="11"/>
  <c r="H38" i="11" s="1"/>
  <c r="E38" i="11"/>
  <c r="G38" i="11"/>
  <c r="J44" i="11" l="1"/>
  <c r="I59" i="11"/>
  <c r="I61" i="11"/>
  <c r="I65" i="11"/>
  <c r="J64" i="11"/>
  <c r="I60" i="11"/>
  <c r="I57" i="11"/>
  <c r="J63" i="11"/>
  <c r="H61" i="11"/>
  <c r="J60" i="11"/>
  <c r="I64" i="11"/>
  <c r="I63" i="11"/>
  <c r="J59" i="11"/>
  <c r="H57" i="11"/>
  <c r="H65" i="11"/>
  <c r="I66" i="11"/>
  <c r="I58" i="11"/>
  <c r="H66" i="11"/>
  <c r="H62" i="11"/>
  <c r="H58" i="11"/>
  <c r="I62" i="11"/>
  <c r="H50" i="11"/>
  <c r="I50" i="11"/>
  <c r="H42" i="11"/>
  <c r="I44" i="11"/>
  <c r="I40" i="11"/>
  <c r="J43" i="11"/>
  <c r="H44" i="11"/>
  <c r="I43" i="11"/>
  <c r="J42" i="11"/>
  <c r="H40" i="11"/>
  <c r="I39" i="11"/>
  <c r="H41" i="11"/>
  <c r="J39" i="11"/>
  <c r="I42" i="11"/>
  <c r="J41" i="11"/>
  <c r="I68" i="11"/>
  <c r="H68" i="11"/>
  <c r="I53" i="11"/>
  <c r="H55" i="11"/>
  <c r="I55" i="11"/>
  <c r="I51" i="11"/>
  <c r="J55" i="11"/>
  <c r="H53" i="11"/>
  <c r="J51" i="11"/>
  <c r="I54" i="11"/>
  <c r="H52" i="11"/>
  <c r="H54" i="11"/>
  <c r="J52" i="11"/>
  <c r="I22" i="11"/>
  <c r="J37" i="11"/>
  <c r="J25" i="11"/>
  <c r="J32" i="11"/>
  <c r="J20" i="11"/>
  <c r="I28" i="11"/>
  <c r="I36" i="11"/>
  <c r="J35" i="11"/>
  <c r="I34" i="11"/>
  <c r="I32" i="11"/>
  <c r="J31" i="11"/>
  <c r="J30" i="11"/>
  <c r="J38" i="11"/>
  <c r="I20" i="11"/>
  <c r="J18" i="11"/>
  <c r="J28" i="11"/>
  <c r="I38" i="11"/>
  <c r="I31" i="11"/>
  <c r="J27" i="11"/>
  <c r="I26" i="11"/>
  <c r="I24" i="11"/>
  <c r="J23" i="11"/>
  <c r="J22" i="11"/>
  <c r="J19" i="11"/>
  <c r="I18" i="11"/>
  <c r="I21" i="11"/>
  <c r="I30" i="11"/>
  <c r="I29" i="11"/>
  <c r="I35" i="11"/>
  <c r="J34" i="11"/>
  <c r="H26" i="11"/>
  <c r="I25" i="11"/>
  <c r="J24" i="11"/>
  <c r="I19" i="11"/>
  <c r="I33" i="11"/>
  <c r="I27" i="11"/>
  <c r="I37" i="11"/>
  <c r="I23" i="11"/>
  <c r="H36" i="11"/>
  <c r="H37" i="11"/>
  <c r="H33" i="11"/>
  <c r="H29" i="11"/>
  <c r="H25" i="11"/>
  <c r="H21" i="11"/>
  <c r="K59" i="11" l="1"/>
  <c r="K65" i="11"/>
  <c r="K63" i="11"/>
  <c r="K61" i="11"/>
  <c r="K64" i="11"/>
  <c r="K57" i="11"/>
  <c r="K38" i="11"/>
  <c r="K60" i="11"/>
  <c r="K58" i="11"/>
  <c r="K62" i="11"/>
  <c r="K66" i="11"/>
  <c r="K42" i="11"/>
  <c r="K31" i="11"/>
  <c r="K50" i="11"/>
  <c r="K40" i="11"/>
  <c r="K35" i="11"/>
  <c r="K43" i="11"/>
  <c r="K44" i="11"/>
  <c r="K39" i="11"/>
  <c r="K41" i="11"/>
  <c r="K68" i="11"/>
  <c r="K51" i="11"/>
  <c r="K53" i="11"/>
  <c r="K54" i="11"/>
  <c r="K52" i="11"/>
  <c r="K55" i="11"/>
  <c r="K32" i="11"/>
  <c r="K18" i="11"/>
  <c r="K36" i="11"/>
  <c r="K27" i="11"/>
  <c r="K30" i="11"/>
  <c r="K33" i="11"/>
  <c r="K22" i="11"/>
  <c r="K21" i="11"/>
  <c r="K20" i="11"/>
  <c r="K28" i="11"/>
  <c r="K26" i="11"/>
  <c r="K19" i="11"/>
  <c r="K34" i="11"/>
  <c r="K23" i="11"/>
  <c r="K29" i="11"/>
  <c r="K24" i="11"/>
  <c r="K25" i="11"/>
  <c r="K37" i="11"/>
  <c r="D15" i="11" l="1"/>
  <c r="H15" i="11" s="1"/>
  <c r="E15" i="11"/>
  <c r="G15" i="11"/>
  <c r="D16" i="11"/>
  <c r="J16" i="11" s="1"/>
  <c r="E16" i="11"/>
  <c r="G16" i="11"/>
  <c r="D17" i="11"/>
  <c r="J17" i="11" s="1"/>
  <c r="E17" i="11"/>
  <c r="G17" i="11"/>
  <c r="D16" i="60"/>
  <c r="J15" i="11" l="1"/>
  <c r="I15" i="11"/>
  <c r="I17" i="11"/>
  <c r="I16" i="11"/>
  <c r="H17" i="11"/>
  <c r="H16" i="11"/>
  <c r="K15" i="11" l="1"/>
  <c r="K17" i="11"/>
  <c r="K16" i="11"/>
  <c r="D14" i="11" l="1"/>
  <c r="J14" i="11" s="1"/>
  <c r="J69" i="11" s="1"/>
  <c r="E14" i="11"/>
  <c r="G14" i="11"/>
  <c r="K19" i="60"/>
  <c r="D19" i="60"/>
  <c r="H14" i="11" l="1"/>
  <c r="H69" i="11" s="1"/>
  <c r="I14" i="11"/>
  <c r="I69" i="11" s="1"/>
  <c r="K69" i="11" l="1"/>
  <c r="K14" i="1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D7" i="60" s="1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A17" i="11" l="1"/>
  <c r="D5" i="60" l="1"/>
  <c r="K5" i="60" s="1"/>
  <c r="F3" i="54" l="1"/>
  <c r="D8" i="59" l="1"/>
  <c r="D9" i="59" l="1"/>
  <c r="K7" i="54" s="1"/>
  <c r="H8" i="54" l="1"/>
  <c r="I8" i="54"/>
  <c r="H7" i="54"/>
  <c r="I7" i="54"/>
  <c r="A15" i="11" l="1"/>
  <c r="D69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69" i="11"/>
  <c r="D70" i="11"/>
  <c r="H70" i="11" s="1"/>
  <c r="E70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L90" i="10" s="1"/>
  <c r="N90" i="10" s="1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L31" i="10" s="1"/>
  <c r="N31" i="10" s="1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N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P184" i="10" s="1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N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N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N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N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N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N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N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N855" i="10" s="1"/>
  <c r="O855" i="10"/>
  <c r="P855" i="10"/>
  <c r="J856" i="10"/>
  <c r="L856" i="10" s="1"/>
  <c r="K856" i="10"/>
  <c r="M856" i="10" s="1"/>
  <c r="N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N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N868" i="10" s="1"/>
  <c r="K868" i="10"/>
  <c r="M868" i="10" s="1"/>
  <c r="O868" i="10"/>
  <c r="P868" i="10" s="1"/>
  <c r="J869" i="10"/>
  <c r="L869" i="10" s="1"/>
  <c r="K869" i="10"/>
  <c r="M869" i="10" s="1"/>
  <c r="N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N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N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N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N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N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N893" i="10" s="1"/>
  <c r="K893" i="10"/>
  <c r="M893" i="10" s="1"/>
  <c r="O893" i="10"/>
  <c r="P893" i="10" s="1"/>
  <c r="J894" i="10"/>
  <c r="L894" i="10" s="1"/>
  <c r="K894" i="10"/>
  <c r="M894" i="10" s="1"/>
  <c r="N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N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N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N905" i="10" s="1"/>
  <c r="K905" i="10"/>
  <c r="M905" i="10" s="1"/>
  <c r="O905" i="10"/>
  <c r="P905" i="10" s="1"/>
  <c r="J906" i="10"/>
  <c r="L906" i="10" s="1"/>
  <c r="K906" i="10"/>
  <c r="M906" i="10" s="1"/>
  <c r="N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 s="1"/>
  <c r="N911" i="10" s="1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N940" i="10" s="1"/>
  <c r="K940" i="10"/>
  <c r="M940" i="10" s="1"/>
  <c r="O940" i="10"/>
  <c r="P940" i="10" s="1"/>
  <c r="J941" i="10"/>
  <c r="L941" i="10" s="1"/>
  <c r="K941" i="10"/>
  <c r="M941" i="10" s="1"/>
  <c r="N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N945" i="10" s="1"/>
  <c r="K945" i="10"/>
  <c r="M945" i="10" s="1"/>
  <c r="O945" i="10"/>
  <c r="P945" i="10" s="1"/>
  <c r="J946" i="10"/>
  <c r="L946" i="10" s="1"/>
  <c r="K946" i="10"/>
  <c r="M946" i="10" s="1"/>
  <c r="N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N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N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N962" i="10" s="1"/>
  <c r="K962" i="10"/>
  <c r="M962" i="10" s="1"/>
  <c r="O962" i="10"/>
  <c r="P962" i="10" s="1"/>
  <c r="J963" i="10"/>
  <c r="L963" i="10" s="1"/>
  <c r="K963" i="10"/>
  <c r="M963" i="10" s="1"/>
  <c r="N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N966" i="10" s="1"/>
  <c r="K966" i="10"/>
  <c r="M966" i="10" s="1"/>
  <c r="O966" i="10"/>
  <c r="P966" i="10" s="1"/>
  <c r="J967" i="10"/>
  <c r="L967" i="10" s="1"/>
  <c r="K967" i="10"/>
  <c r="M967" i="10" s="1"/>
  <c r="N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N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N974" i="10" s="1"/>
  <c r="K974" i="10"/>
  <c r="M974" i="10" s="1"/>
  <c r="O974" i="10"/>
  <c r="P974" i="10" s="1"/>
  <c r="J975" i="10"/>
  <c r="L975" i="10" s="1"/>
  <c r="K975" i="10"/>
  <c r="M975" i="10" s="1"/>
  <c r="N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N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N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N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N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N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N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N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N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N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N1112" i="10" s="1"/>
  <c r="K1112" i="10"/>
  <c r="M1112" i="10" s="1"/>
  <c r="O1112" i="10"/>
  <c r="P1112" i="10" s="1"/>
  <c r="J1113" i="10"/>
  <c r="L1113" i="10" s="1"/>
  <c r="K1113" i="10"/>
  <c r="M1113" i="10" s="1"/>
  <c r="N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N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N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N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N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N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N1210" i="10" s="1"/>
  <c r="K1210" i="10"/>
  <c r="M1210" i="10" s="1"/>
  <c r="O1210" i="10"/>
  <c r="P1210" i="10" s="1"/>
  <c r="J1211" i="10"/>
  <c r="L1211" i="10" s="1"/>
  <c r="K1211" i="10"/>
  <c r="M1211" i="10" s="1"/>
  <c r="N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N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N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 s="1"/>
  <c r="N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N1245" i="10" s="1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N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N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N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N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N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739" i="10"/>
  <c r="N874" i="10"/>
  <c r="N857" i="10"/>
  <c r="N1070" i="10"/>
  <c r="N700" i="10"/>
  <c r="N775" i="10"/>
  <c r="N889" i="10"/>
  <c r="N983" i="10"/>
  <c r="N965" i="10"/>
  <c r="N960" i="10"/>
  <c r="N944" i="10"/>
  <c r="N676" i="10"/>
  <c r="N824" i="10"/>
  <c r="N822" i="10"/>
  <c r="N723" i="10"/>
  <c r="N973" i="10"/>
  <c r="N968" i="10"/>
  <c r="N956" i="10"/>
  <c r="N751" i="10"/>
  <c r="N661" i="10"/>
  <c r="N912" i="10"/>
  <c r="N1124" i="10"/>
  <c r="N970" i="10"/>
  <c r="N952" i="10"/>
  <c r="N863" i="10"/>
  <c r="N838" i="10"/>
  <c r="N831" i="10"/>
  <c r="N815" i="10"/>
  <c r="N664" i="10"/>
  <c r="N986" i="10"/>
  <c r="N922" i="10"/>
  <c r="N921" i="10"/>
  <c r="N908" i="10"/>
  <c r="N892" i="10"/>
  <c r="N884" i="10"/>
  <c r="N763" i="10"/>
  <c r="N645" i="10"/>
  <c r="N993" i="10"/>
  <c r="N964" i="10"/>
  <c r="N1040" i="10"/>
  <c r="N1085" i="10"/>
  <c r="N1053" i="10"/>
  <c r="N1045" i="10"/>
  <c r="N989" i="10"/>
  <c r="N977" i="10"/>
  <c r="N937" i="10"/>
  <c r="N845" i="10"/>
  <c r="N813" i="10"/>
  <c r="N925" i="10"/>
  <c r="N909" i="10"/>
  <c r="N896" i="10"/>
  <c r="N840" i="10"/>
  <c r="N712" i="10"/>
  <c r="N701" i="10"/>
  <c r="N689" i="10"/>
  <c r="N681" i="10"/>
  <c r="N693" i="10"/>
  <c r="N677" i="10"/>
  <c r="N668" i="10"/>
  <c r="N657" i="10"/>
  <c r="N649" i="10"/>
  <c r="L207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70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77" i="11"/>
  <c r="I1220" i="10"/>
  <c r="I1219" i="10"/>
  <c r="I9" i="10"/>
  <c r="P191" i="10"/>
  <c r="P193" i="10"/>
  <c r="P190" i="10"/>
  <c r="P7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55" i="11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N1298" i="10"/>
  <c r="N1096" i="10"/>
  <c r="G8" i="29"/>
  <c r="N1359" i="10"/>
  <c r="N1209" i="10"/>
  <c r="N1208" i="10"/>
  <c r="N1060" i="10"/>
  <c r="N1003" i="10"/>
  <c r="N1370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39" i="10"/>
  <c r="N923" i="10"/>
  <c r="N916" i="10"/>
  <c r="N887" i="10"/>
  <c r="N867" i="10"/>
  <c r="N835" i="10"/>
  <c r="N870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2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52" i="10"/>
  <c r="N1238" i="10"/>
  <c r="L70" i="10"/>
  <c r="N70" i="10" s="1"/>
  <c r="L9" i="10"/>
  <c r="N1386" i="10"/>
  <c r="N1326" i="10"/>
  <c r="N1276" i="10"/>
  <c r="N1185" i="10"/>
  <c r="N1139" i="10"/>
  <c r="N1454" i="10"/>
  <c r="L86" i="10"/>
  <c r="N86" i="10" s="1"/>
  <c r="L45" i="10"/>
  <c r="L91" i="10"/>
  <c r="N91" i="10" s="1"/>
  <c r="N1237" i="10"/>
  <c r="N1164" i="10"/>
  <c r="N1145" i="10"/>
  <c r="N1144" i="10"/>
  <c r="N1041" i="10"/>
  <c r="N972" i="10"/>
  <c r="N851" i="10"/>
  <c r="N842" i="10"/>
  <c r="N1318" i="10"/>
  <c r="N1254" i="10"/>
  <c r="N1163" i="10"/>
  <c r="N1111" i="10"/>
  <c r="N1048" i="10"/>
  <c r="N1012" i="10"/>
  <c r="N903" i="10"/>
  <c r="N871" i="10"/>
  <c r="N862" i="10"/>
  <c r="N860" i="10"/>
  <c r="N827" i="10"/>
  <c r="N818" i="10"/>
  <c r="N817" i="10"/>
  <c r="N812" i="10"/>
  <c r="N947" i="10"/>
  <c r="N918" i="10"/>
  <c r="N917" i="10"/>
  <c r="N915" i="10"/>
  <c r="N885" i="10"/>
  <c r="N883" i="10"/>
  <c r="N843" i="10"/>
  <c r="N834" i="10"/>
  <c r="N833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59" i="10"/>
  <c r="N943" i="10"/>
  <c r="N936" i="10"/>
  <c r="N927" i="10"/>
  <c r="N920" i="10"/>
  <c r="N904" i="10"/>
  <c r="N895" i="10"/>
  <c r="N852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272" i="10"/>
  <c r="N1223" i="10"/>
  <c r="N1129" i="10"/>
  <c r="N1128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115" i="10"/>
  <c r="N103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31" i="10"/>
  <c r="L228" i="10" l="1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C294" i="29" s="1"/>
  <c r="D294" i="29" s="1"/>
  <c r="E294" i="29" s="1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69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313" i="29"/>
  <c r="D313" i="29" s="1"/>
  <c r="C256" i="29"/>
  <c r="D256" i="29" s="1"/>
  <c r="E256" i="29" s="1"/>
  <c r="C247" i="29"/>
  <c r="D247" i="29" s="1"/>
  <c r="F247" i="29" s="1"/>
  <c r="C271" i="29"/>
  <c r="D271" i="29" s="1"/>
  <c r="E271" i="29" s="1"/>
  <c r="C308" i="29"/>
  <c r="D308" i="29" s="1"/>
  <c r="E308" i="29" s="1"/>
  <c r="C273" i="29"/>
  <c r="D273" i="29" s="1"/>
  <c r="F273" i="29" s="1"/>
  <c r="C245" i="29"/>
  <c r="D245" i="29" s="1"/>
  <c r="F245" i="29" s="1"/>
  <c r="C289" i="29"/>
  <c r="D289" i="29" s="1"/>
  <c r="E289" i="29" s="1"/>
  <c r="C284" i="29"/>
  <c r="D284" i="29" s="1"/>
  <c r="E284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28" i="29"/>
  <c r="D228" i="29" s="1"/>
  <c r="E228" i="29" s="1"/>
  <c r="C299" i="29"/>
  <c r="D299" i="29" s="1"/>
  <c r="F299" i="29" s="1"/>
  <c r="C316" i="29"/>
  <c r="D316" i="29" s="1"/>
  <c r="E316" i="29" s="1"/>
  <c r="C250" i="29"/>
  <c r="D250" i="29" s="1"/>
  <c r="E250" i="29" s="1"/>
  <c r="C261" i="29"/>
  <c r="D261" i="29" s="1"/>
  <c r="F261" i="29" s="1"/>
  <c r="C264" i="29"/>
  <c r="D264" i="29" s="1"/>
  <c r="F264" i="29" s="1"/>
  <c r="C270" i="29"/>
  <c r="D270" i="29" s="1"/>
  <c r="E270" i="29" s="1"/>
  <c r="C298" i="29"/>
  <c r="D298" i="29" s="1"/>
  <c r="E298" i="29" s="1"/>
  <c r="C293" i="29"/>
  <c r="D293" i="29" s="1"/>
  <c r="E293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70" i="11"/>
  <c r="I70" i="11"/>
  <c r="C246" i="29" l="1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F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47" i="29"/>
  <c r="F302" i="29"/>
  <c r="F284" i="29"/>
  <c r="F266" i="29"/>
  <c r="E245" i="29"/>
  <c r="F294" i="29"/>
  <c r="F289" i="29"/>
  <c r="E299" i="29"/>
  <c r="E268" i="29"/>
  <c r="E273" i="29"/>
  <c r="E236" i="29"/>
  <c r="F308" i="29"/>
  <c r="E227" i="29"/>
  <c r="F293" i="29"/>
  <c r="E264" i="29"/>
  <c r="E261" i="29"/>
  <c r="F270" i="29"/>
  <c r="E276" i="29"/>
  <c r="F256" i="29"/>
  <c r="E251" i="29"/>
  <c r="F250" i="29"/>
  <c r="F298" i="29"/>
  <c r="F271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E8" i="54"/>
  <c r="L8" i="54" s="1"/>
  <c r="M8" i="54" s="1"/>
  <c r="I9" i="54"/>
  <c r="H9" i="54"/>
  <c r="C10" i="54"/>
  <c r="D9" i="54"/>
  <c r="K36" i="39"/>
  <c r="K70" i="11"/>
  <c r="F278" i="29" l="1"/>
  <c r="E267" i="29"/>
  <c r="F246" i="29"/>
  <c r="F244" i="29"/>
  <c r="F287" i="29"/>
  <c r="E309" i="29"/>
  <c r="F292" i="29"/>
  <c r="F274" i="29"/>
  <c r="E280" i="29"/>
  <c r="F315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17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F59" i="3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72" i="11"/>
  <c r="H73" i="11" s="1"/>
  <c r="I72" i="11"/>
  <c r="I73" i="11" s="1"/>
  <c r="F337" i="29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50" i="29"/>
  <c r="F341" i="29"/>
  <c r="E341" i="29"/>
  <c r="E327" i="29"/>
  <c r="E338" i="29"/>
  <c r="E335" i="29"/>
  <c r="E355" i="29"/>
  <c r="F340" i="29"/>
  <c r="E340" i="29"/>
  <c r="E329" i="29"/>
  <c r="E62" i="39"/>
  <c r="F62" i="39"/>
  <c r="F352" i="29"/>
  <c r="E352" i="29"/>
  <c r="E9" i="54"/>
  <c r="L9" i="54" s="1"/>
  <c r="M9" i="54" s="1"/>
  <c r="I10" i="54"/>
  <c r="H10" i="54"/>
  <c r="C11" i="54"/>
  <c r="D10" i="54"/>
  <c r="F313" i="29" l="1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74" i="11"/>
  <c r="I74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K72" i="11"/>
  <c r="K73" i="1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72" i="11"/>
  <c r="J73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/>
  <c r="J16" i="29"/>
  <c r="G16" i="29" l="1"/>
  <c r="H16" i="29" s="1"/>
  <c r="K16" i="29" s="1"/>
  <c r="B16" i="29"/>
  <c r="E16" i="29" s="1"/>
  <c r="K74" i="11"/>
  <c r="B75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74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F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D10" i="59" l="1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G13" i="54"/>
  <c r="J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N13" i="54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S7" i="54"/>
  <c r="Q8" i="54"/>
  <c r="N14" i="54" l="1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<sst xmlns="http://schemas.openxmlformats.org/spreadsheetml/2006/main" count="4742" uniqueCount="1635">
  <si>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</si>
  <si>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</si>
  <si>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</si>
  <si>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</si>
  <si>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</si>
  <si>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</si>
  <si>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</si>
  <si>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</si>
  <si>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</si>
  <si>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</si>
  <si>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</si>
  <si>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</si>
  <si>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</si>
  <si>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</si>
  <si>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</si>
  <si>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</si>
  <si>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</si>
  <si>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</si>
  <si>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</si>
  <si>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</si>
  <si>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</si>
  <si>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</si>
  <si>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</si>
  <si>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</si>
  <si>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</si>
  <si>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</si>
  <si>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</si>
  <si>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</si>
  <si>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</si>
  <si>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</si>
  <si>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</si>
  <si>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</si>
  <si>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</si>
  <si>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</si>
  <si>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</si>
  <si>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</si>
  <si>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</si>
  <si>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</si>
  <si>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</si>
  <si>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</si>
  <si>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</si>
  <si>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</si>
  <si>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</si>
  <si>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</si>
  <si>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</si>
  <si>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</si>
  <si>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</si>
  <si>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</si>
  <si>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</si>
  <si>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</si>
  <si>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</si>
  <si>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</si>
  <si>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</si>
  <si>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</si>
  <si>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</si>
  <si>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</si>
  <si>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</si>
  <si>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</si>
  <si>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</si>
  <si>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</si>
  <si>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</si>
  <si>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</si>
  <si>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</si>
  <si>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</si>
  <si>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</si>
  <si>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</si>
  <si>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</si>
  <si>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</si>
  <si>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</si>
  <si>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</si>
  <si>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</si>
  <si>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</si>
  <si>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</si>
  <si>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</si>
  <si>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</si>
  <si>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</si>
  <si>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</si>
  <si>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</si>
  <si>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</si>
  <si>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</si>
  <si>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</si>
  <si>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</si>
  <si>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</si>
  <si>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</si>
  <si>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</si>
  <si>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</si>
  <si>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</si>
  <si>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</si>
  <si>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</si>
  <si>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</si>
  <si>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</si>
  <si>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</si>
  <si>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</si>
  <si>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</si>
  <si>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</si>
  <si>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</si>
  <si>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</si>
  <si>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</si>
  <si>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</si>
  <si>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</si>
  <si>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</si>
  <si>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</si>
  <si>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</si>
  <si>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</si>
  <si>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</si>
  <si>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</si>
  <si>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</si>
  <si>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</si>
  <si>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</si>
  <si>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</si>
  <si>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</si>
  <si>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</si>
  <si>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</si>
  <si>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</si>
  <si>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</si>
  <si>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</si>
  <si>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</si>
  <si>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</si>
  <si>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</si>
  <si>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</si>
  <si>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</si>
  <si>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</si>
  <si>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</si>
  <si>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</si>
  <si>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</si>
  <si>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</si>
  <si>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</si>
  <si>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</si>
  <si>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</si>
  <si>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</si>
  <si>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</si>
  <si>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</si>
  <si>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</si>
  <si>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</si>
  <si>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</si>
  <si>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</si>
  <si>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</si>
  <si>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</si>
  <si>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</si>
  <si>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</si>
  <si>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</si>
  <si>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</si>
  <si>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</si>
  <si>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</si>
  <si>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</si>
  <si>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</si>
  <si>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</si>
  <si>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</si>
  <si>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</si>
  <si>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</si>
  <si>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</si>
  <si>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</si>
  <si>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</si>
  <si>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</si>
  <si>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</si>
  <si>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</si>
  <si>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</si>
  <si>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</si>
  <si>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</si>
  <si>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</si>
  <si>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</si>
  <si>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</si>
  <si>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</si>
  <si>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</si>
  <si>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</si>
  <si>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</si>
  <si>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</si>
  <si>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</si>
  <si>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</si>
  <si>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</si>
  <si>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</si>
  <si>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</si>
  <si>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</si>
  <si>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</si>
  <si>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</si>
  <si>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</si>
  <si>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</si>
  <si>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</si>
  <si>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</si>
  <si>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</si>
  <si>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</si>
  <si>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</si>
  <si>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</si>
  <si>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</si>
  <si>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</si>
  <si>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</si>
  <si>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</si>
  <si>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</si>
  <si>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</si>
  <si>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</si>
  <si>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</si>
  <si>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</si>
  <si>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</si>
  <si>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</si>
  <si>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</si>
  <si>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</si>
  <si>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</si>
  <si>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</si>
  <si>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</si>
  <si>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</si>
  <si>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</si>
  <si>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</si>
  <si>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</si>
  <si>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</si>
  <si>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</si>
  <si>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</si>
  <si>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</si>
  <si>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</si>
  <si>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</si>
  <si>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</si>
  <si>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</si>
  <si>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</si>
  <si>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</si>
  <si>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</si>
  <si>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</si>
  <si>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</si>
  <si>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</si>
  <si>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</si>
  <si>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</si>
  <si>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</si>
  <si>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</si>
  <si>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</si>
  <si>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</si>
  <si>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</si>
  <si>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</si>
  <si>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</si>
  <si>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</si>
  <si>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</si>
  <si>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</si>
  <si>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</si>
  <si>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</si>
  <si>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</si>
  <si>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</si>
  <si>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</si>
  <si>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</si>
  <si>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</si>
  <si>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</si>
  <si>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</si>
  <si>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</si>
  <si>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</si>
  <si>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</si>
  <si>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</si>
  <si>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</si>
  <si>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</si>
  <si>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</si>
  <si>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</si>
  <si>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</si>
  <si>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</si>
  <si>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</si>
  <si>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</si>
  <si>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</si>
  <si>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</si>
  <si>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</si>
  <si>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</si>
  <si>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</si>
  <si>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</si>
  <si>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</si>
  <si>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</si>
  <si>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</si>
  <si>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</si>
  <si>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</si>
  <si>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</si>
  <si>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</si>
  <si>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</si>
  <si>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</si>
  <si>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</si>
  <si>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</si>
  <si>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</si>
  <si>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</si>
  <si>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</si>
  <si>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</si>
  <si>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</si>
  <si>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</si>
  <si>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</si>
  <si>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</si>
  <si>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</si>
  <si>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</si>
  <si>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</si>
  <si>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</si>
  <si>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</si>
  <si>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</si>
  <si>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</si>
  <si>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</si>
  <si>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</si>
  <si>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</si>
  <si>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</si>
  <si>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</si>
  <si>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</si>
  <si>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</si>
  <si>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</si>
  <si>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</si>
  <si>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</si>
  <si>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</si>
  <si>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</si>
  <si>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</si>
  <si>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</si>
  <si>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</si>
  <si>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</si>
  <si>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</si>
  <si>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</si>
  <si>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</si>
  <si>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</si>
  <si>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</si>
  <si>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</si>
  <si>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</si>
  <si>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</si>
  <si>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</si>
  <si>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</si>
  <si>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</si>
  <si>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</si>
  <si>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</si>
  <si>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</si>
  <si>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</si>
  <si>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</si>
  <si>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</si>
  <si>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</si>
  <si>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</si>
  <si>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</si>
  <si>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</si>
  <si>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</si>
  <si>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</si>
  <si>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</si>
  <si>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</si>
  <si>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</si>
  <si>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</si>
  <si>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</si>
  <si>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</si>
  <si>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</si>
  <si>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</si>
  <si>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</si>
  <si>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</si>
  <si>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</si>
  <si>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</si>
  <si>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</si>
  <si>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</si>
  <si>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</si>
  <si>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</si>
  <si>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</si>
  <si>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</si>
  <si>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</si>
  <si>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</si>
  <si>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</si>
  <si>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</si>
  <si>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</si>
  <si>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</si>
  <si>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</si>
  <si>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</si>
  <si>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</si>
  <si>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</si>
  <si>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</si>
  <si>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</si>
  <si>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</si>
  <si>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</si>
  <si>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</si>
  <si>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</si>
  <si>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</si>
  <si>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</si>
  <si>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</si>
  <si>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</si>
  <si>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</si>
  <si>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</si>
  <si>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</si>
  <si>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</si>
  <si>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</si>
  <si>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</si>
  <si>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</si>
  <si>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</si>
  <si>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</si>
  <si>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</si>
  <si>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</si>
  <si>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</si>
  <si>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</si>
  <si>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</si>
  <si>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</si>
  <si>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</si>
  <si>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</si>
  <si>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</si>
  <si>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</si>
  <si>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</si>
  <si>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</si>
  <si>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</si>
  <si>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</si>
  <si>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</si>
  <si>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</si>
  <si>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</si>
  <si>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</si>
  <si>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</si>
  <si>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</si>
  <si>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</si>
  <si>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</si>
  <si>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</si>
  <si>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</si>
  <si>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</si>
  <si>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</si>
  <si>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</si>
  <si>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</si>
  <si>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</si>
  <si>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</si>
  <si>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</si>
  <si>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</si>
  <si>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</si>
  <si>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</si>
  <si>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</si>
  <si>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</si>
  <si>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</si>
  <si>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</si>
  <si>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</si>
  <si>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</si>
  <si>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</si>
  <si>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</si>
  <si>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</si>
  <si>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</si>
  <si>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</si>
  <si>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</si>
  <si>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</si>
  <si>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</si>
  <si>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</si>
  <si>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</si>
  <si>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</si>
  <si>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</si>
  <si>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</si>
  <si>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</si>
  <si>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</si>
  <si>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</si>
  <si>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</si>
  <si>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</si>
  <si>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</si>
  <si>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</si>
  <si>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</si>
  <si>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</si>
  <si>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</si>
  <si>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</si>
  <si>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</si>
  <si>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</si>
  <si>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</si>
  <si>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</si>
  <si>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</si>
  <si>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</si>
  <si>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</si>
  <si>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</si>
  <si>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</si>
  <si>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</si>
  <si>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</si>
  <si>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</si>
  <si>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</si>
  <si>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</si>
  <si>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</si>
  <si>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</si>
  <si>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</si>
  <si>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</si>
  <si>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</si>
  <si>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</si>
  <si>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</si>
  <si>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</si>
  <si>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</si>
  <si>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</si>
  <si>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</si>
  <si>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</si>
  <si>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</si>
  <si>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</si>
  <si>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</si>
  <si>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</si>
  <si>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</si>
  <si>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</si>
  <si>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</si>
  <si>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</si>
  <si>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</si>
  <si>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</si>
  <si>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</si>
  <si>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</si>
  <si>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</si>
  <si>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</si>
  <si>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</si>
  <si>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</si>
  <si>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</si>
  <si>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</si>
  <si>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</si>
  <si>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</si>
  <si>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</si>
  <si>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</si>
  <si>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</si>
  <si>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</si>
  <si>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</si>
  <si>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</si>
  <si>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</si>
  <si>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</si>
  <si>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</si>
  <si>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</si>
  <si>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</si>
  <si>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</si>
  <si>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</si>
  <si>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</si>
  <si>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</si>
  <si>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</si>
  <si>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</si>
  <si>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</si>
  <si>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</si>
  <si>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</si>
  <si>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</si>
  <si>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</si>
  <si>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</si>
  <si>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</si>
  <si>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</si>
  <si>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</si>
  <si>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</si>
  <si>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</si>
  <si>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</si>
  <si>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</si>
  <si>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</si>
  <si>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</si>
  <si>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</si>
  <si>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</si>
  <si>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</si>
  <si>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</si>
  <si>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</si>
  <si>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</si>
  <si>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</si>
  <si>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</si>
  <si>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</si>
  <si>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</si>
  <si>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</si>
  <si>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</si>
  <si>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</si>
  <si>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</si>
  <si>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</si>
  <si>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</si>
  <si>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</si>
  <si>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</si>
  <si>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</si>
  <si>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</si>
  <si>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</si>
  <si>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</si>
  <si>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</si>
  <si>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</si>
  <si>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</si>
  <si>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</si>
  <si>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</si>
  <si>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</si>
  <si>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</si>
  <si>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</si>
  <si>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</si>
  <si>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</si>
  <si>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</si>
  <si>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</si>
  <si>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</si>
  <si>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</si>
  <si>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</si>
  <si>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</si>
  <si>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</si>
  <si>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</si>
  <si>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</si>
  <si>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</si>
  <si>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</si>
  <si>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</si>
  <si>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</si>
  <si>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</si>
  <si>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</si>
  <si>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</si>
  <si>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</si>
  <si>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</si>
  <si>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</si>
  <si>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</si>
  <si>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</si>
  <si>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</si>
  <si>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</si>
  <si>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</si>
  <si>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</si>
  <si>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</si>
  <si>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</si>
  <si>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</si>
  <si>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</si>
  <si>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</si>
  <si>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</si>
  <si>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</si>
  <si>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</si>
  <si>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</si>
  <si>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</si>
  <si>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</si>
  <si>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</si>
  <si>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</si>
  <si>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</si>
  <si>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</si>
  <si>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</si>
  <si>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</si>
  <si>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</si>
  <si>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</si>
  <si>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</si>
  <si>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</si>
  <si>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</si>
  <si>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</si>
  <si>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</si>
  <si>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</si>
  <si>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</si>
  <si>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</si>
  <si>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</si>
  <si>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</si>
  <si>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</si>
  <si>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</si>
  <si>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</si>
  <si>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</si>
  <si>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</si>
  <si>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</si>
  <si>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</si>
  <si>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</si>
  <si>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</si>
  <si>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</si>
  <si>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</si>
  <si>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</si>
  <si>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</si>
  <si>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</si>
  <si>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</si>
  <si>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</si>
  <si>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</si>
  <si>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</si>
  <si>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</si>
  <si>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</si>
  <si>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</si>
  <si>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</si>
  <si>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</si>
  <si>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</si>
  <si>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</si>
  <si>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</si>
  <si>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</si>
  <si>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</si>
  <si>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</si>
  <si>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</si>
  <si>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</si>
  <si>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</si>
  <si>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</si>
  <si>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</si>
  <si>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</si>
  <si>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</si>
  <si>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</si>
  <si>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</si>
  <si>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</si>
  <si>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</si>
  <si>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</si>
  <si>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</si>
  <si>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</si>
  <si>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</si>
  <si>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</si>
  <si>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</si>
  <si>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</si>
  <si>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</si>
  <si>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</si>
  <si>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</si>
  <si>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</si>
  <si>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</si>
  <si>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</si>
  <si>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</si>
  <si>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</si>
  <si>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</si>
  <si>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</si>
  <si>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</si>
  <si>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</si>
  <si>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</si>
  <si>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</si>
  <si>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</si>
  <si>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</si>
  <si>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</si>
  <si>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</si>
  <si>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</si>
  <si>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</si>
  <si>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</si>
  <si>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</si>
  <si>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</si>
  <si>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</si>
  <si>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</si>
  <si>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</si>
  <si>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</si>
  <si>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</si>
  <si>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</si>
  <si>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</si>
  <si>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</si>
  <si>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</si>
  <si>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</si>
  <si>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</si>
  <si>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</si>
  <si>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</si>
  <si>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</si>
  <si>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</si>
  <si>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</si>
  <si>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</si>
  <si>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</si>
  <si>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</si>
  <si>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</si>
  <si>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</si>
  <si>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</si>
  <si>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</si>
  <si>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</si>
  <si>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</si>
  <si>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</si>
  <si>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</si>
  <si>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</si>
  <si>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</si>
  <si>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</si>
  <si>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</si>
  <si>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</si>
  <si>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</si>
  <si>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</si>
  <si>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</si>
  <si>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</si>
  <si>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</si>
  <si>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</si>
  <si>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</si>
  <si>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</si>
  <si>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</si>
  <si>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</si>
  <si>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</si>
  <si>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</si>
  <si>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</si>
  <si>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</si>
  <si>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</si>
  <si>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</si>
  <si>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</si>
  <si>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</si>
  <si>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</si>
  <si>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</si>
  <si>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</si>
  <si>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</si>
  <si>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</si>
  <si>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</si>
  <si>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</si>
  <si>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</si>
  <si>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</si>
  <si>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</si>
  <si>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</si>
  <si>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</si>
  <si>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</si>
  <si>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</si>
  <si>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</si>
  <si>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</si>
  <si>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</si>
  <si>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</si>
  <si>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</si>
  <si>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</si>
  <si>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</si>
  <si>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</si>
  <si>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</si>
  <si>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</si>
  <si>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</si>
  <si>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</si>
  <si>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</si>
  <si>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</si>
  <si>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</si>
  <si>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</si>
  <si>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</si>
  <si>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</si>
  <si>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</si>
  <si>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</si>
  <si>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</si>
  <si>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</si>
  <si>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</si>
  <si>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</si>
  <si>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</si>
  <si>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</si>
  <si>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</si>
  <si>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</si>
  <si>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</si>
  <si>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</si>
  <si>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</si>
  <si>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</si>
  <si>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</si>
  <si>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</si>
  <si>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</si>
  <si>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</si>
  <si>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</si>
  <si>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</si>
  <si>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</si>
  <si>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</si>
  <si>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</si>
  <si>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</si>
  <si>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</si>
  <si>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</si>
  <si>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</si>
  <si>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</si>
  <si>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</si>
  <si>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</si>
  <si>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</si>
  <si>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</si>
  <si>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</si>
  <si>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</si>
  <si>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</si>
  <si>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</si>
  <si>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</si>
  <si>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</si>
  <si>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</si>
  <si>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</si>
  <si>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</si>
  <si>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</si>
  <si>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</si>
  <si>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</si>
  <si>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</si>
  <si>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</si>
  <si>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</si>
  <si>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</si>
  <si>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</si>
  <si>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</si>
  <si>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</si>
  <si>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</si>
  <si>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</si>
  <si>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</si>
  <si>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</si>
  <si>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</si>
  <si>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</si>
  <si>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</si>
  <si>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</si>
  <si>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</si>
  <si>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</si>
  <si>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</si>
  <si>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</si>
  <si>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</si>
  <si>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</si>
  <si>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</si>
  <si>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</si>
  <si>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</si>
  <si>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</si>
  <si>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</si>
  <si>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</si>
  <si>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</si>
  <si>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</si>
  <si>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</si>
  <si>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</si>
  <si>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</si>
  <si>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</si>
  <si>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</si>
  <si>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</si>
  <si>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</si>
  <si>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</si>
  <si>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</si>
  <si>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</si>
  <si>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</si>
  <si>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</si>
  <si>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</si>
  <si>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</si>
  <si>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</si>
  <si>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</si>
  <si>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</si>
  <si>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</si>
  <si>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</si>
  <si>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</si>
  <si>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</si>
  <si>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</si>
  <si>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</si>
  <si>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</si>
  <si>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</si>
  <si>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</si>
  <si>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</si>
  <si>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</si>
  <si>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</si>
  <si>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</si>
  <si>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</si>
  <si>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</si>
  <si>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</si>
  <si>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</si>
  <si>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</si>
  <si>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</si>
  <si>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</si>
  <si>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</si>
  <si>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</si>
  <si>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</si>
  <si>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</si>
  <si>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</si>
  <si>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</si>
  <si>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</si>
  <si>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</si>
  <si>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</si>
  <si>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</si>
  <si>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</si>
  <si>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</si>
  <si>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</si>
  <si>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</si>
  <si>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</si>
  <si>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</si>
  <si>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</si>
  <si>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</si>
  <si>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</si>
  <si>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</si>
  <si>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</si>
  <si>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</si>
  <si>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</si>
  <si>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</si>
  <si>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</si>
  <si>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</si>
  <si>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</si>
  <si>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</si>
  <si>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</si>
  <si>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</si>
  <si>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</si>
  <si>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</si>
  <si>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</si>
  <si>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</si>
  <si>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</si>
  <si>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</si>
  <si>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</si>
  <si>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</si>
  <si>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</si>
  <si>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</si>
  <si>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</si>
  <si>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</si>
  <si>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</si>
  <si>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</si>
  <si>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</si>
  <si>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</si>
  <si>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</si>
  <si>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</si>
  <si>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</si>
  <si>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</si>
  <si>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</si>
  <si>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</si>
  <si>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</si>
  <si>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</si>
  <si>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</si>
  <si>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</si>
  <si>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</si>
  <si>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</si>
  <si>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</si>
  <si>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</si>
  <si>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</si>
  <si>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</si>
  <si>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</si>
  <si>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</si>
  <si>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</si>
  <si>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</si>
  <si>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</si>
  <si>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</si>
  <si>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</si>
  <si>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</si>
  <si>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</si>
  <si>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</si>
  <si>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</si>
  <si>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</si>
  <si>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</si>
  <si>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</si>
  <si>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</si>
  <si>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</si>
  <si>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</si>
  <si>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</si>
  <si>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</si>
  <si>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</si>
  <si>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</si>
  <si>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</si>
  <si>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</si>
  <si>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</si>
  <si>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</si>
  <si>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</si>
  <si>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</si>
  <si>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</si>
  <si>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</si>
  <si>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</si>
  <si>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</si>
  <si>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</si>
  <si>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</si>
  <si>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</si>
  <si>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</si>
  <si>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</si>
  <si>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</si>
  <si>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</si>
  <si>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</si>
  <si>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</si>
  <si>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</si>
  <si>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</si>
  <si>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</si>
  <si>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</si>
  <si>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</si>
  <si>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</si>
  <si>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</si>
  <si>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</si>
  <si>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</si>
  <si>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</si>
  <si>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</si>
  <si>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</si>
  <si>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</si>
  <si>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</si>
  <si>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</si>
  <si>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</si>
  <si>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</si>
  <si>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</si>
  <si>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</si>
  <si>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</si>
  <si>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</si>
  <si>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</si>
  <si>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</si>
  <si>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</si>
  <si>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</si>
  <si>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</si>
  <si>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</si>
  <si>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</si>
  <si>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</si>
  <si>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</si>
  <si>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</si>
  <si>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</si>
  <si>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</si>
  <si>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</si>
  <si>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</si>
  <si>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</si>
  <si>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</si>
  <si>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</si>
  <si>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</si>
  <si>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</si>
  <si>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</si>
  <si>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</si>
  <si>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</si>
  <si>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</si>
  <si>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</si>
  <si>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</si>
  <si>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</si>
  <si>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</si>
  <si>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</si>
  <si>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</si>
  <si>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</si>
  <si>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</si>
  <si>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</si>
  <si>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</si>
  <si>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</si>
  <si>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</si>
  <si>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</si>
  <si>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</si>
  <si>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</si>
  <si>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</si>
  <si>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</si>
  <si>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</si>
  <si>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</si>
  <si>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</si>
  <si>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</si>
  <si>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</si>
  <si>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</si>
  <si>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</si>
  <si>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</si>
  <si>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</si>
  <si>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</si>
  <si>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</si>
  <si>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</si>
  <si>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</si>
  <si>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</si>
  <si>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</si>
  <si>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</si>
  <si>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</si>
  <si>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</si>
  <si>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</si>
  <si>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</si>
  <si>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</si>
  <si>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</si>
  <si>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</si>
  <si>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</si>
  <si>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</si>
  <si>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</si>
  <si>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</si>
  <si>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</si>
  <si>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</si>
  <si>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</si>
  <si>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</si>
  <si>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</si>
  <si>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</si>
  <si>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</si>
  <si>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</si>
  <si>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</si>
  <si>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</si>
  <si>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</si>
  <si>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</si>
  <si>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</si>
  <si>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</si>
  <si>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</si>
  <si>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</si>
  <si>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</si>
  <si>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</si>
  <si>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</si>
  <si>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</si>
  <si>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</si>
  <si>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</si>
  <si>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</si>
  <si>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</si>
  <si>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</si>
  <si>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</si>
  <si>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</si>
  <si>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</si>
  <si>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</si>
  <si>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</si>
  <si>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</si>
  <si>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</si>
  <si>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</si>
  <si>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</si>
  <si>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</si>
  <si>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</si>
  <si>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</si>
  <si>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</si>
  <si>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</si>
  <si>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</si>
  <si>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</si>
  <si>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</si>
  <si>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</si>
  <si>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</si>
  <si>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</si>
  <si>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</si>
  <si>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</si>
  <si>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</si>
  <si>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</si>
  <si>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</si>
  <si>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</si>
  <si>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</si>
  <si>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</si>
  <si>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</si>
  <si>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</si>
  <si>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</si>
  <si>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</si>
  <si>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</si>
  <si>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</si>
  <si>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</si>
  <si>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</si>
  <si>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</si>
  <si>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</si>
  <si>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</si>
  <si>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</si>
  <si>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</si>
  <si>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</si>
  <si>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</si>
  <si>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</si>
  <si>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</si>
  <si>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</si>
  <si>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</si>
  <si>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</si>
  <si>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</si>
  <si>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</si>
  <si>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</si>
  <si>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</si>
  <si>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</si>
  <si>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</si>
  <si>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</si>
  <si>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</si>
  <si>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</si>
  <si>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</si>
  <si>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</si>
  <si>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</si>
  <si>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</si>
  <si>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</si>
  <si>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</si>
  <si>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</si>
  <si>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</si>
  <si>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</si>
  <si>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</si>
  <si>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</si>
  <si>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</si>
  <si>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</si>
  <si>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</si>
  <si>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</si>
  <si>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</si>
  <si>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</si>
  <si>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</si>
  <si>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</si>
  <si>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</si>
  <si>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</si>
  <si>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</si>
  <si>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</si>
  <si>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</si>
  <si>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</si>
  <si>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</si>
  <si>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</si>
  <si>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</si>
  <si>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</si>
  <si>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</si>
  <si>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</si>
  <si>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</si>
  <si>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</si>
  <si>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</si>
  <si>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</si>
  <si>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</si>
  <si>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</si>
  <si>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</si>
  <si>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</si>
  <si>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</si>
  <si>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</si>
  <si>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</si>
  <si>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</si>
  <si>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</si>
  <si>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</si>
  <si>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</si>
  <si>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</si>
  <si>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</si>
  <si>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</si>
  <si>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</si>
  <si>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</si>
  <si>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</si>
  <si>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</si>
  <si>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</si>
  <si>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</si>
  <si>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</si>
  <si>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</si>
  <si>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</si>
  <si>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</si>
  <si>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</si>
  <si>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</si>
  <si>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</si>
  <si>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</si>
  <si>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</si>
  <si>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</si>
  <si>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</si>
  <si>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</si>
  <si>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</si>
  <si>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</si>
  <si>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</si>
  <si>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</si>
  <si>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</si>
  <si>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</si>
  <si>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</si>
  <si>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</si>
  <si>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</si>
  <si>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</si>
  <si>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</si>
  <si>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</si>
  <si>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</si>
  <si>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</si>
  <si>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</si>
  <si>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</si>
  <si>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</si>
  <si>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</si>
  <si>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</si>
  <si>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</si>
  <si>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</si>
  <si>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</si>
  <si>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</si>
  <si>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</si>
  <si>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</si>
  <si>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</si>
  <si>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</si>
  <si>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</si>
  <si>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</si>
  <si>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</si>
  <si>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</si>
  <si>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</si>
  <si>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</si>
  <si>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</si>
  <si>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</si>
  <si>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</si>
  <si>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</si>
  <si>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</si>
  <si>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</si>
  <si>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</si>
  <si>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</si>
  <si>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</si>
  <si>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</si>
  <si>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</si>
  <si>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</si>
  <si>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</si>
  <si>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</si>
  <si>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</si>
  <si>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</si>
  <si>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</si>
  <si>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</si>
  <si>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</si>
  <si>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</si>
  <si>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</si>
  <si>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</si>
  <si>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</si>
  <si>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</si>
  <si>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</si>
  <si>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</si>
  <si>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</si>
  <si>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</si>
  <si>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</si>
  <si>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</si>
  <si>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</si>
  <si>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</si>
  <si>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</si>
  <si>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</si>
  <si>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</si>
  <si>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</si>
  <si>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</si>
  <si>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</si>
  <si>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</si>
  <si>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</si>
  <si>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</si>
  <si>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</si>
  <si>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</si>
  <si>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</si>
  <si>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</si>
  <si>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</si>
  <si>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</si>
  <si>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</si>
  <si>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</si>
  <si>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</si>
  <si>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</si>
  <si>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</si>
  <si>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</si>
  <si>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</si>
  <si>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</si>
  <si>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</si>
  <si>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</si>
  <si>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</si>
  <si>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</si>
  <si>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</si>
  <si>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</si>
  <si>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</si>
  <si>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</si>
  <si>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</si>
  <si>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</si>
  <si>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</si>
  <si>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</si>
  <si>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</si>
  <si>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</si>
  <si>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</si>
  <si>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</si>
  <si>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</si>
  <si>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</si>
  <si>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</si>
  <si>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</si>
  <si>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</si>
  <si>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</si>
  <si>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</si>
  <si>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</si>
  <si>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</si>
  <si>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</si>
  <si>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</si>
  <si>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</si>
  <si>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</si>
  <si>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</si>
  <si>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</si>
  <si>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</si>
  <si>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</si>
  <si>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</si>
  <si>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</si>
  <si>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</si>
  <si>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</si>
  <si>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</si>
  <si>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</si>
  <si>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</si>
  <si>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</si>
  <si>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</si>
  <si>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</si>
  <si>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</si>
  <si>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</si>
  <si>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</si>
  <si>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</si>
  <si>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</si>
  <si>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</si>
  <si>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</si>
  <si>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</si>
  <si>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</si>
  <si>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</si>
  <si>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</si>
  <si>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</si>
  <si>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</si>
  <si>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</si>
  <si>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</si>
  <si>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</si>
  <si>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</si>
  <si>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</si>
  <si>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</si>
  <si>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</si>
  <si>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</si>
  <si>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</si>
  <si>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</si>
  <si>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</si>
  <si>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</si>
  <si>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</si>
  <si>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</si>
  <si>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</si>
  <si>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</si>
  <si>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</si>
  <si>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</si>
  <si>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</si>
  <si>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</si>
  <si>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</si>
  <si>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</si>
  <si>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</si>
  <si>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</si>
  <si>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</si>
  <si>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</si>
  <si>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</si>
  <si>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</si>
  <si>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</si>
  <si>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</si>
  <si>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</si>
  <si>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</si>
  <si>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</si>
  <si>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</si>
  <si>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</si>
  <si>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</si>
  <si>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</si>
  <si>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</si>
  <si>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</si>
  <si>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</si>
  <si>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</si>
  <si>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</si>
  <si>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</si>
  <si>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</si>
  <si>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</si>
  <si>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</si>
  <si>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</si>
  <si>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</si>
  <si>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</si>
  <si>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</si>
  <si>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</si>
  <si>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</si>
  <si>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</si>
  <si>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</si>
  <si>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</si>
  <si>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</si>
  <si>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</si>
  <si>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</si>
  <si>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</si>
  <si>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</si>
  <si>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</si>
  <si>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</si>
  <si>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</si>
  <si>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</si>
  <si>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</si>
  <si>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</si>
  <si>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</si>
  <si>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</si>
  <si>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</si>
  <si>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</si>
  <si>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</si>
  <si>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</si>
  <si>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</si>
  <si>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</si>
  <si>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</si>
  <si>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</si>
  <si>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</si>
  <si>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</si>
  <si>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</si>
  <si>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</si>
  <si>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</si>
  <si>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</si>
  <si>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</si>
  <si>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</si>
  <si>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</si>
  <si>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</si>
  <si>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</si>
  <si>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</si>
  <si>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</si>
  <si>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</si>
  <si>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</si>
  <si>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</si>
  <si>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</si>
  <si>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</si>
  <si>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</si>
  <si>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</si>
  <si>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</si>
  <si>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</si>
  <si>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</si>
  <si>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</si>
  <si>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</si>
  <si>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</si>
  <si>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</si>
  <si>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</si>
  <si>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</si>
  <si>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</si>
  <si>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</si>
  <si>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</si>
  <si>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</si>
  <si>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</si>
  <si>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</si>
  <si>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</si>
  <si>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</si>
  <si>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</si>
  <si>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PEKERJAAN PEMASANGAN TIANG</t>
  </si>
  <si>
    <t>II</t>
  </si>
  <si>
    <t>PEMASANGAN APP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</si>
  <si>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</si>
  <si>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</si>
  <si>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</si>
  <si>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</si>
  <si>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</si>
  <si>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</si>
  <si>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</si>
  <si>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</si>
  <si>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</si>
  <si>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</si>
  <si>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</si>
  <si>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</si>
  <si>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</si>
  <si>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</si>
  <si>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</si>
  <si>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</si>
  <si>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</si>
  <si>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</si>
  <si>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</si>
  <si>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</si>
  <si>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</si>
  <si>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</si>
  <si>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</si>
  <si>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</si>
  <si>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</si>
  <si>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</si>
  <si>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</si>
  <si>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</si>
  <si>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</si>
  <si>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</si>
  <si>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</si>
  <si>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</si>
  <si>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</si>
  <si>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</si>
  <si>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</si>
  <si>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</si>
  <si>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</si>
  <si>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</si>
  <si>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</si>
  <si>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</si>
  <si>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</si>
  <si>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</si>
  <si>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</si>
  <si>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</si>
  <si>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</si>
  <si>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</si>
  <si>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</si>
  <si>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</si>
  <si>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</si>
  <si>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</si>
  <si>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</si>
  <si>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</si>
  <si>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</si>
  <si>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</si>
  <si>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</si>
  <si>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</si>
  <si>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</si>
  <si>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</si>
  <si>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</si>
  <si>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</si>
  <si>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</si>
  <si>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</si>
  <si>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</si>
  <si>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</si>
  <si>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</si>
  <si>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</si>
  <si>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</si>
  <si>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</si>
  <si>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</si>
  <si>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</si>
  <si>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</si>
  <si>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</si>
  <si>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</si>
  <si>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</si>
  <si>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</si>
  <si>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</si>
  <si>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</si>
  <si>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</si>
  <si>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</si>
  <si>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</si>
  <si>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</si>
  <si>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</si>
  <si>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</si>
  <si>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</si>
  <si>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</si>
  <si>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</si>
  <si>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</si>
  <si>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</si>
  <si>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</si>
  <si>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</si>
  <si>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</si>
  <si>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III</t>
  </si>
  <si>
    <t>IV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</si>
  <si>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</si>
  <si>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</si>
  <si>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</si>
  <si>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</si>
  <si>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</si>
  <si>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</si>
  <si>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</si>
  <si>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</si>
  <si>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</si>
  <si>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</si>
  <si>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</si>
  <si>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</si>
  <si>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</si>
  <si>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</si>
  <si>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</si>
  <si>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</si>
  <si>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</si>
  <si>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</si>
  <si>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</si>
  <si>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</si>
  <si>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</si>
  <si>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</si>
  <si>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</si>
  <si>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</si>
  <si>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</si>
  <si>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</si>
  <si>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</si>
  <si>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</si>
  <si>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</si>
  <si>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</si>
  <si>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</si>
  <si>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</si>
  <si>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</si>
  <si>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</si>
  <si>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</si>
  <si>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</si>
  <si>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</si>
  <si>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</si>
  <si>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</si>
  <si>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</si>
  <si>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</si>
  <si>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</si>
  <si>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</si>
  <si>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</si>
  <si>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</si>
  <si>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</si>
  <si>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</si>
  <si>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</si>
  <si>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</si>
  <si>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</si>
  <si>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</si>
  <si>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</si>
  <si>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</si>
  <si>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</si>
  <si>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</si>
  <si>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</si>
  <si>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</si>
  <si>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</si>
  <si>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</si>
  <si>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</si>
  <si>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</si>
  <si>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UPAH LAIN-LAIN</t>
  </si>
  <si>
    <t>Staff Teknik</t>
  </si>
  <si>
    <t>TL. Teknik</t>
  </si>
  <si>
    <t>MULP</t>
  </si>
  <si>
    <t>PEMASANGAN TRAFO</t>
  </si>
  <si>
    <t>KONDUKTOR</t>
  </si>
  <si>
    <t>CJ5-T</t>
  </si>
  <si>
    <t>CJ6-T</t>
  </si>
  <si>
    <t>MJ6-T</t>
  </si>
  <si>
    <t>PEMBANGUNAN JARINGAN TR</t>
  </si>
  <si>
    <t>Daya 11.000 VA</t>
  </si>
  <si>
    <t>Pemasangan APP 1 Fasa Di Bangunan</t>
  </si>
  <si>
    <t>DPU-POMPA AIR LOIRENG</t>
  </si>
  <si>
    <t>KOORDINAT : -6.936508, 110.542413</t>
  </si>
  <si>
    <t>https://goo.gl/maps/MxXpoCT4nTUC1wo48</t>
  </si>
  <si>
    <t>DS LOIRENG KEC. SAYUNG</t>
  </si>
  <si>
    <t>SYG 5 - 32</t>
  </si>
  <si>
    <t>SYG 05</t>
  </si>
  <si>
    <t>DPU-RUMAH POMPA LOIRENG</t>
  </si>
  <si>
    <t>Demak, 13 November 2023</t>
  </si>
  <si>
    <t>MANAGER ULP</t>
  </si>
  <si>
    <t>AACHMAD SUHENDRO</t>
  </si>
  <si>
    <t>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</si>
</sst>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9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60" fillId="0" borderId="0" applyFont="0" applyFill="0" applyBorder="0" applyAlignment="0" applyProtection="0"/>
    <xf numFmtId="41" fontId="172" fillId="0" borderId="0" applyFont="0" applyFill="0" applyBorder="0" applyAlignment="0" applyProtection="0"/>
    <xf numFmtId="0" fontId="19" fillId="0" borderId="0"/>
    <xf numFmtId="0" fontId="174" fillId="0" borderId="0" applyNumberFormat="0" applyFill="0" applyBorder="0" applyAlignment="0" applyProtection="0"/>
  </cellStyleXfs>
  <cellXfs count="711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119" fillId="0" borderId="26" xfId="1451" applyFont="1" applyBorder="1"/>
    <xf numFmtId="0" fontId="119" fillId="0" borderId="36" xfId="1451" applyFont="1" applyBorder="1"/>
    <xf numFmtId="0" fontId="119" fillId="0" borderId="48" xfId="1451" applyFont="1" applyBorder="1"/>
    <xf numFmtId="0" fontId="119" fillId="0" borderId="28" xfId="1451" applyFont="1" applyBorder="1"/>
    <xf numFmtId="0" fontId="119" fillId="0" borderId="37" xfId="1451" applyFont="1" applyBorder="1"/>
    <xf numFmtId="0" fontId="114" fillId="0" borderId="37" xfId="1451" applyFont="1" applyBorder="1" applyAlignment="1">
      <alignment vertical="center"/>
    </xf>
    <xf numFmtId="0" fontId="119" fillId="0" borderId="34" xfId="1451" applyFont="1" applyBorder="1"/>
    <xf numFmtId="0" fontId="119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8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4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7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2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9" fillId="33" borderId="0" xfId="1451" applyFont="1" applyFill="1"/>
    <xf numFmtId="0" fontId="119" fillId="33" borderId="26" xfId="1451" applyFont="1" applyFill="1" applyBorder="1"/>
    <xf numFmtId="0" fontId="119" fillId="33" borderId="36" xfId="1451" applyFont="1" applyFill="1" applyBorder="1"/>
    <xf numFmtId="0" fontId="119" fillId="33" borderId="48" xfId="1451" applyFont="1" applyFill="1" applyBorder="1"/>
    <xf numFmtId="0" fontId="119" fillId="33" borderId="28" xfId="1451" applyFont="1" applyFill="1" applyBorder="1"/>
    <xf numFmtId="0" fontId="119" fillId="33" borderId="37" xfId="1451" applyFont="1" applyFill="1" applyBorder="1"/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horizontal="center" vertical="center"/>
    </xf>
    <xf numFmtId="0" fontId="123" fillId="33" borderId="0" xfId="1451" applyFont="1" applyFill="1"/>
    <xf numFmtId="0" fontId="124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4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5" fillId="33" borderId="0" xfId="1451" applyFont="1" applyFill="1" applyAlignment="1">
      <alignment vertical="center"/>
    </xf>
    <xf numFmtId="0" fontId="125" fillId="33" borderId="37" xfId="1451" applyFont="1" applyFill="1" applyBorder="1" applyAlignment="1">
      <alignment vertical="center"/>
    </xf>
    <xf numFmtId="0" fontId="119" fillId="33" borderId="34" xfId="1451" applyFont="1" applyFill="1" applyBorder="1"/>
    <xf numFmtId="0" fontId="119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9" fillId="33" borderId="31" xfId="1451" applyFont="1" applyFill="1" applyBorder="1"/>
    <xf numFmtId="0" fontId="113" fillId="33" borderId="0" xfId="0" applyFont="1" applyFill="1" applyAlignment="1">
      <alignment horizontal="center"/>
    </xf>
    <xf numFmtId="0" fontId="113" fillId="33" borderId="26" xfId="0" applyFont="1" applyFill="1" applyBorder="1" applyAlignment="1">
      <alignment horizontal="center"/>
    </xf>
    <xf numFmtId="0" fontId="113" fillId="33" borderId="36" xfId="0" applyFont="1" applyFill="1" applyBorder="1" applyAlignment="1">
      <alignment horizontal="center"/>
    </xf>
    <xf numFmtId="0" fontId="113" fillId="33" borderId="28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3" fillId="33" borderId="37" xfId="0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35" fillId="33" borderId="0" xfId="0" applyFont="1" applyFill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5" fillId="33" borderId="0" xfId="0" applyFont="1" applyFill="1" applyAlignment="1">
      <alignment horizontal="center"/>
    </xf>
    <xf numFmtId="0" fontId="113" fillId="33" borderId="38" xfId="0" applyFont="1" applyFill="1" applyBorder="1" applyAlignment="1">
      <alignment horizontal="center"/>
    </xf>
    <xf numFmtId="0" fontId="90" fillId="33" borderId="40" xfId="0" applyFont="1" applyFill="1" applyBorder="1" applyAlignment="1">
      <alignment horizontal="center" vertical="center"/>
    </xf>
    <xf numFmtId="0" fontId="90" fillId="33" borderId="47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 vertical="center"/>
    </xf>
    <xf numFmtId="0" fontId="113" fillId="33" borderId="39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/>
    </xf>
    <xf numFmtId="0" fontId="90" fillId="33" borderId="68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vertical="top" wrapText="1"/>
    </xf>
    <xf numFmtId="0" fontId="113" fillId="33" borderId="39" xfId="0" applyFont="1" applyFill="1" applyBorder="1" applyAlignment="1">
      <alignment vertical="top" wrapText="1"/>
    </xf>
    <xf numFmtId="0" fontId="117" fillId="33" borderId="69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top" wrapText="1"/>
    </xf>
    <xf numFmtId="49" fontId="113" fillId="33" borderId="41" xfId="0" applyNumberFormat="1" applyFont="1" applyFill="1" applyBorder="1" applyAlignment="1">
      <alignment horizontal="center" vertical="top" wrapText="1"/>
    </xf>
    <xf numFmtId="0" fontId="117" fillId="33" borderId="70" xfId="0" applyFont="1" applyFill="1" applyBorder="1" applyAlignment="1">
      <alignment horizontal="center" vertical="center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118" fillId="33" borderId="71" xfId="0" applyFont="1" applyFill="1" applyBorder="1" applyAlignment="1">
      <alignment horizontal="center" vertical="top" wrapText="1"/>
    </xf>
    <xf numFmtId="0" fontId="118" fillId="33" borderId="72" xfId="0" applyFont="1" applyFill="1" applyBorder="1" applyAlignment="1">
      <alignment horizontal="center" vertical="top" wrapText="1"/>
    </xf>
    <xf numFmtId="0" fontId="113" fillId="33" borderId="0" xfId="0" applyFont="1" applyFill="1" applyAlignment="1">
      <alignment vertical="top" wrapText="1"/>
    </xf>
    <xf numFmtId="0" fontId="113" fillId="33" borderId="37" xfId="0" applyFont="1" applyFill="1" applyBorder="1" applyAlignment="1">
      <alignment vertical="top" wrapText="1"/>
    </xf>
    <xf numFmtId="0" fontId="113" fillId="33" borderId="42" xfId="0" applyFont="1" applyFill="1" applyBorder="1" applyAlignment="1">
      <alignment horizontal="center"/>
    </xf>
    <xf numFmtId="0" fontId="113" fillId="33" borderId="43" xfId="0" applyFont="1" applyFill="1" applyBorder="1" applyAlignment="1">
      <alignment vertical="top" wrapText="1"/>
    </xf>
    <xf numFmtId="0" fontId="113" fillId="33" borderId="44" xfId="0" applyFont="1" applyFill="1" applyBorder="1" applyAlignment="1">
      <alignment vertical="top" wrapText="1"/>
    </xf>
    <xf numFmtId="0" fontId="113" fillId="33" borderId="45" xfId="0" applyFont="1" applyFill="1" applyBorder="1" applyAlignment="1">
      <alignment vertical="top" wrapText="1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3" fillId="33" borderId="39" xfId="0" applyFont="1" applyFill="1" applyBorder="1" applyAlignment="1">
      <alignment horizontal="center"/>
    </xf>
    <xf numFmtId="20" fontId="113" fillId="33" borderId="39" xfId="0" applyNumberFormat="1" applyFont="1" applyFill="1" applyBorder="1" applyAlignment="1">
      <alignment horizontal="center"/>
    </xf>
    <xf numFmtId="0" fontId="113" fillId="33" borderId="42" xfId="0" applyFont="1" applyFill="1" applyBorder="1" applyAlignment="1">
      <alignment horizontal="center" vertical="center" wrapText="1"/>
    </xf>
    <xf numFmtId="0" fontId="118" fillId="33" borderId="34" xfId="0" applyFont="1" applyFill="1" applyBorder="1" applyAlignment="1">
      <alignment horizontal="center"/>
    </xf>
    <xf numFmtId="0" fontId="118" fillId="33" borderId="19" xfId="0" applyFont="1" applyFill="1" applyBorder="1" applyAlignment="1">
      <alignment horizontal="center"/>
    </xf>
    <xf numFmtId="0" fontId="113" fillId="33" borderId="19" xfId="0" applyFont="1" applyFill="1" applyBorder="1" applyAlignment="1">
      <alignment horizontal="center"/>
    </xf>
    <xf numFmtId="0" fontId="113" fillId="33" borderId="46" xfId="0" applyFont="1" applyFill="1" applyBorder="1" applyAlignment="1">
      <alignment horizontal="center"/>
    </xf>
    <xf numFmtId="0" fontId="145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4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right" vertical="center"/>
    </xf>
    <xf numFmtId="9" fontId="144" fillId="36" borderId="0" xfId="2671" applyFont="1" applyFill="1" applyBorder="1" applyAlignment="1" applyProtection="1">
      <alignment horizontal="right" vertical="center"/>
    </xf>
    <xf numFmtId="167" fontId="143" fillId="36" borderId="0" xfId="2672" applyFont="1" applyFill="1" applyBorder="1" applyAlignment="1" applyProtection="1">
      <alignment horizontal="right" vertical="center"/>
    </xf>
    <xf numFmtId="167" fontId="144" fillId="36" borderId="0" xfId="2672" applyFont="1" applyFill="1" applyBorder="1" applyAlignment="1" applyProtection="1">
      <alignment horizontal="right" vertical="center"/>
    </xf>
    <xf numFmtId="10" fontId="144" fillId="36" borderId="0" xfId="2671" applyNumberFormat="1" applyFont="1" applyFill="1" applyBorder="1" applyAlignment="1" applyProtection="1">
      <alignment horizontal="right" vertical="center"/>
    </xf>
    <xf numFmtId="169" fontId="143" fillId="36" borderId="0" xfId="2672" applyNumberFormat="1" applyFont="1" applyFill="1" applyBorder="1" applyAlignment="1" applyProtection="1">
      <alignment horizontal="right" vertical="center"/>
    </xf>
    <xf numFmtId="0" fontId="137" fillId="0" borderId="0" xfId="2670" applyFont="1" applyAlignment="1">
      <alignment horizontal="left" vertical="center"/>
    </xf>
    <xf numFmtId="0" fontId="140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6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8" fillId="0" borderId="3" xfId="1026" applyFont="1" applyBorder="1" applyProtection="1"/>
    <xf numFmtId="167" fontId="0" fillId="0" borderId="3" xfId="1026" applyFont="1" applyBorder="1" applyProtection="1"/>
    <xf numFmtId="167" fontId="126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7" fillId="0" borderId="0" xfId="1614" applyFont="1" applyAlignment="1">
      <alignment horizontal="center"/>
    </xf>
    <xf numFmtId="0" fontId="148" fillId="0" borderId="0" xfId="1614" applyFont="1" applyAlignment="1">
      <alignment horizontal="center" vertical="center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0" fillId="0" borderId="0" xfId="1614" applyFont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48" fillId="0" borderId="0" xfId="1614" applyFont="1" applyAlignment="1">
      <alignment horizontal="center"/>
    </xf>
    <xf numFmtId="3" fontId="147" fillId="0" borderId="0" xfId="1614" applyNumberFormat="1" applyFont="1" applyAlignment="1">
      <alignment horizontal="center"/>
    </xf>
    <xf numFmtId="0" fontId="152" fillId="0" borderId="0" xfId="1614" applyFont="1"/>
    <xf numFmtId="167" fontId="152" fillId="0" borderId="0" xfId="1652" applyNumberFormat="1" applyFont="1"/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left" vertical="center"/>
    </xf>
    <xf numFmtId="0" fontId="152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0" fontId="152" fillId="0" borderId="0" xfId="1614" applyFont="1" applyAlignment="1">
      <alignment horizontal="center" vertical="center" wrapText="1"/>
    </xf>
    <xf numFmtId="0" fontId="149" fillId="0" borderId="0" xfId="1614" applyFont="1" applyAlignment="1">
      <alignment horizontal="center" vertical="center" wrapText="1"/>
    </xf>
    <xf numFmtId="3" fontId="148" fillId="0" borderId="0" xfId="1614" applyNumberFormat="1" applyFont="1" applyAlignment="1">
      <alignment vertical="center"/>
    </xf>
    <xf numFmtId="0" fontId="149" fillId="0" borderId="20" xfId="1615" applyFont="1" applyBorder="1" applyAlignment="1">
      <alignment horizontal="center" vertical="center"/>
    </xf>
    <xf numFmtId="0" fontId="149" fillId="0" borderId="21" xfId="1615" applyFont="1" applyBorder="1" applyAlignment="1">
      <alignment horizontal="left" vertical="center" wrapText="1"/>
    </xf>
    <xf numFmtId="0" fontId="148" fillId="0" borderId="21" xfId="1614" applyFont="1" applyBorder="1" applyAlignment="1">
      <alignment horizontal="center" vertical="center" wrapText="1"/>
    </xf>
    <xf numFmtId="0" fontId="155" fillId="0" borderId="21" xfId="1614" applyFont="1" applyBorder="1" applyAlignment="1">
      <alignment horizontal="center" vertical="center"/>
    </xf>
    <xf numFmtId="3" fontId="155" fillId="0" borderId="21" xfId="1614" applyNumberFormat="1" applyFont="1" applyBorder="1" applyAlignment="1">
      <alignment horizontal="center" vertical="center"/>
    </xf>
    <xf numFmtId="3" fontId="148" fillId="0" borderId="21" xfId="1614" applyNumberFormat="1" applyFont="1" applyBorder="1" applyAlignment="1">
      <alignment horizontal="center" vertical="center"/>
    </xf>
    <xf numFmtId="3" fontId="148" fillId="0" borderId="22" xfId="1614" applyNumberFormat="1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/>
    </xf>
    <xf numFmtId="3" fontId="147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49" fillId="0" borderId="20" xfId="1653" applyFont="1" applyBorder="1" applyAlignment="1">
      <alignment horizontal="center" vertical="center"/>
    </xf>
    <xf numFmtId="0" fontId="149" fillId="0" borderId="21" xfId="1451" applyFont="1" applyBorder="1" applyAlignment="1">
      <alignment horizontal="left" vertical="center" wrapText="1"/>
    </xf>
    <xf numFmtId="0" fontId="150" fillId="0" borderId="21" xfId="1653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54" fillId="0" borderId="20" xfId="1653" applyFont="1" applyBorder="1" applyAlignment="1">
      <alignment horizontal="center" vertical="center"/>
    </xf>
    <xf numFmtId="0" fontId="154" fillId="0" borderId="21" xfId="1653" applyFont="1" applyBorder="1" applyAlignment="1">
      <alignment vertical="center" wrapText="1"/>
    </xf>
    <xf numFmtId="0" fontId="150" fillId="0" borderId="21" xfId="1652" applyFont="1" applyBorder="1" applyAlignment="1">
      <alignment vertical="center" wrapText="1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48" fillId="0" borderId="20" xfId="1652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55" fillId="0" borderId="21" xfId="1652" applyFont="1" applyBorder="1" applyAlignment="1">
      <alignment horizontal="center" vertical="center"/>
    </xf>
    <xf numFmtId="0" fontId="155" fillId="0" borderId="49" xfId="1652" applyFont="1" applyBorder="1" applyAlignment="1">
      <alignment horizontal="center" vertical="center"/>
    </xf>
    <xf numFmtId="0" fontId="155" fillId="0" borderId="3" xfId="1652" applyFont="1" applyBorder="1" applyAlignment="1">
      <alignment vertical="center" wrapText="1"/>
    </xf>
    <xf numFmtId="0" fontId="148" fillId="0" borderId="3" xfId="1614" applyFont="1" applyBorder="1" applyAlignment="1">
      <alignment horizontal="center" vertical="center" wrapText="1"/>
    </xf>
    <xf numFmtId="0" fontId="155" fillId="0" borderId="3" xfId="1614" applyFont="1" applyBorder="1" applyAlignment="1">
      <alignment horizontal="center" vertical="center"/>
    </xf>
    <xf numFmtId="0" fontId="155" fillId="0" borderId="3" xfId="1652" applyFont="1" applyBorder="1" applyAlignment="1">
      <alignment horizontal="center" vertical="center"/>
    </xf>
    <xf numFmtId="207" fontId="155" fillId="0" borderId="3" xfId="1614" applyNumberFormat="1" applyFont="1" applyBorder="1" applyAlignment="1">
      <alignment horizontal="center" vertical="center"/>
    </xf>
    <xf numFmtId="3" fontId="148" fillId="0" borderId="3" xfId="1614" applyNumberFormat="1" applyFont="1" applyBorder="1" applyAlignment="1">
      <alignment horizontal="center" vertical="center"/>
    </xf>
    <xf numFmtId="3" fontId="148" fillId="0" borderId="39" xfId="1614" applyNumberFormat="1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48" fillId="0" borderId="23" xfId="1614" applyFont="1" applyBorder="1" applyAlignment="1">
      <alignment horizontal="center" vertical="center"/>
    </xf>
    <xf numFmtId="0" fontId="148" fillId="0" borderId="24" xfId="1614" applyFont="1" applyBorder="1" applyAlignment="1">
      <alignment horizontal="left" vertical="center"/>
    </xf>
    <xf numFmtId="0" fontId="148" fillId="0" borderId="24" xfId="1614" applyFont="1" applyBorder="1" applyAlignment="1">
      <alignment vertical="center"/>
    </xf>
    <xf numFmtId="0" fontId="155" fillId="0" borderId="24" xfId="1614" applyFont="1" applyBorder="1" applyAlignment="1">
      <alignment horizontal="center" vertical="center"/>
    </xf>
    <xf numFmtId="3" fontId="148" fillId="0" borderId="24" xfId="1614" applyNumberFormat="1" applyFont="1" applyBorder="1" applyAlignment="1">
      <alignment horizontal="center" vertical="center"/>
    </xf>
    <xf numFmtId="3" fontId="148" fillId="0" borderId="25" xfId="1614" applyNumberFormat="1" applyFont="1" applyBorder="1" applyAlignment="1">
      <alignment horizontal="center" vertical="center"/>
    </xf>
    <xf numFmtId="0" fontId="150" fillId="0" borderId="26" xfId="1614" applyFont="1" applyBorder="1" applyAlignment="1">
      <alignment horizontal="center" vertical="center"/>
    </xf>
    <xf numFmtId="37" fontId="152" fillId="0" borderId="27" xfId="1614" applyNumberFormat="1" applyFont="1" applyBorder="1" applyAlignment="1">
      <alignment horizontal="center"/>
    </xf>
    <xf numFmtId="37" fontId="150" fillId="0" borderId="27" xfId="1614" applyNumberFormat="1" applyFont="1" applyBorder="1" applyAlignment="1">
      <alignment horizontal="center"/>
    </xf>
    <xf numFmtId="37" fontId="148" fillId="0" borderId="0" xfId="1614" applyNumberFormat="1" applyFont="1" applyAlignment="1">
      <alignment horizontal="center"/>
    </xf>
    <xf numFmtId="37" fontId="150" fillId="0" borderId="0" xfId="1614" applyNumberFormat="1" applyFont="1" applyAlignment="1">
      <alignment horizontal="center"/>
    </xf>
    <xf numFmtId="0" fontId="150" fillId="0" borderId="28" xfId="1614" applyFont="1" applyBorder="1" applyAlignment="1">
      <alignment horizontal="center" vertical="center"/>
    </xf>
    <xf numFmtId="37" fontId="152" fillId="0" borderId="29" xfId="1614" applyNumberFormat="1" applyFont="1" applyBorder="1" applyAlignment="1">
      <alignment horizontal="center"/>
    </xf>
    <xf numFmtId="37" fontId="150" fillId="0" borderId="29" xfId="1614" applyNumberFormat="1" applyFont="1" applyBorder="1" applyAlignment="1">
      <alignment horizontal="center"/>
    </xf>
    <xf numFmtId="37" fontId="156" fillId="0" borderId="0" xfId="1614" applyNumberFormat="1" applyFont="1" applyAlignment="1">
      <alignment horizontal="center"/>
    </xf>
    <xf numFmtId="37" fontId="156" fillId="0" borderId="30" xfId="1614" applyNumberFormat="1" applyFont="1" applyBorder="1" applyAlignment="1">
      <alignment horizontal="center"/>
    </xf>
    <xf numFmtId="37" fontId="156" fillId="0" borderId="32" xfId="1614" applyNumberFormat="1" applyFont="1" applyBorder="1" applyAlignment="1">
      <alignment horizontal="center"/>
    </xf>
    <xf numFmtId="0" fontId="147" fillId="0" borderId="0" xfId="1614" applyFont="1" applyAlignment="1">
      <alignment horizontal="center" vertical="center"/>
    </xf>
    <xf numFmtId="0" fontId="156" fillId="0" borderId="34" xfId="1614" applyFont="1" applyBorder="1" applyAlignment="1">
      <alignment vertical="center"/>
    </xf>
    <xf numFmtId="0" fontId="150" fillId="0" borderId="19" xfId="1614" applyFont="1" applyBorder="1"/>
    <xf numFmtId="0" fontId="150" fillId="0" borderId="19" xfId="1614" applyFont="1" applyBorder="1" applyAlignment="1">
      <alignment horizontal="center"/>
    </xf>
    <xf numFmtId="0" fontId="150" fillId="0" borderId="19" xfId="1614" applyFont="1" applyBorder="1" applyAlignment="1">
      <alignment horizontal="right"/>
    </xf>
    <xf numFmtId="0" fontId="150" fillId="0" borderId="31" xfId="1614" applyFont="1" applyBorder="1" applyAlignment="1">
      <alignment horizontal="right"/>
    </xf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vertical="center"/>
    </xf>
    <xf numFmtId="0" fontId="155" fillId="0" borderId="0" xfId="1614" applyFont="1" applyAlignment="1">
      <alignment horizontal="center" vertical="center"/>
    </xf>
    <xf numFmtId="165" fontId="155" fillId="0" borderId="0" xfId="1652" applyNumberFormat="1" applyFont="1" applyAlignment="1">
      <alignment vertical="center"/>
    </xf>
    <xf numFmtId="0" fontId="150" fillId="0" borderId="0" xfId="1652" applyFont="1" applyAlignment="1">
      <alignment horizontal="right"/>
    </xf>
    <xf numFmtId="0" fontId="157" fillId="0" borderId="0" xfId="1644" applyFont="1" applyAlignment="1">
      <alignment horizontal="center" vertical="center"/>
    </xf>
    <xf numFmtId="0" fontId="155" fillId="0" borderId="0" xfId="1652" applyFont="1" applyAlignment="1">
      <alignment vertical="center"/>
    </xf>
    <xf numFmtId="0" fontId="158" fillId="39" borderId="83" xfId="2670" applyFont="1" applyFill="1" applyBorder="1" applyAlignment="1">
      <alignment horizontal="left" vertical="center"/>
    </xf>
    <xf numFmtId="0" fontId="158" fillId="39" borderId="84" xfId="2670" applyFont="1" applyFill="1" applyBorder="1" applyAlignment="1">
      <alignment horizontal="center" vertical="center"/>
    </xf>
    <xf numFmtId="0" fontId="158" fillId="39" borderId="86" xfId="2670" applyFont="1" applyFill="1" applyBorder="1" applyAlignment="1">
      <alignment horizontal="left" vertical="center"/>
    </xf>
    <xf numFmtId="0" fontId="158" fillId="39" borderId="82" xfId="2670" applyFont="1" applyFill="1" applyBorder="1" applyAlignment="1">
      <alignment horizontal="center" vertical="center"/>
    </xf>
    <xf numFmtId="0" fontId="158" fillId="39" borderId="88" xfId="2670" applyFont="1" applyFill="1" applyBorder="1" applyAlignment="1">
      <alignment horizontal="left" vertical="center"/>
    </xf>
    <xf numFmtId="0" fontId="158" fillId="39" borderId="89" xfId="2670" applyFont="1" applyFill="1" applyBorder="1" applyAlignment="1">
      <alignment horizontal="center" vertical="center"/>
    </xf>
    <xf numFmtId="167" fontId="139" fillId="40" borderId="85" xfId="2672" applyFont="1" applyFill="1" applyBorder="1" applyAlignment="1" applyProtection="1">
      <alignment horizontal="right" vertical="center" wrapText="1"/>
      <protection locked="0"/>
    </xf>
    <xf numFmtId="167" fontId="139" fillId="40" borderId="87" xfId="2672" applyFont="1" applyFill="1" applyBorder="1" applyAlignment="1" applyProtection="1">
      <alignment horizontal="right" vertical="center"/>
      <protection locked="0"/>
    </xf>
    <xf numFmtId="169" fontId="139" fillId="40" borderId="87" xfId="2672" applyNumberFormat="1" applyFont="1" applyFill="1" applyBorder="1" applyAlignment="1" applyProtection="1">
      <alignment horizontal="right" vertical="center"/>
      <protection locked="0"/>
    </xf>
    <xf numFmtId="169" fontId="139" fillId="40" borderId="90" xfId="2672" applyNumberFormat="1" applyFont="1" applyFill="1" applyBorder="1" applyAlignment="1" applyProtection="1">
      <alignment horizontal="right" vertical="center"/>
      <protection locked="0"/>
    </xf>
    <xf numFmtId="0" fontId="119" fillId="0" borderId="0" xfId="1451" applyFont="1"/>
    <xf numFmtId="0" fontId="120" fillId="0" borderId="0" xfId="1451" applyFont="1" applyAlignment="1">
      <alignment vertical="center"/>
    </xf>
    <xf numFmtId="0" fontId="146" fillId="0" borderId="0" xfId="1451" applyFont="1"/>
    <xf numFmtId="0" fontId="121" fillId="0" borderId="0" xfId="1451" applyFont="1" applyAlignment="1">
      <alignment vertical="center"/>
    </xf>
    <xf numFmtId="0" fontId="122" fillId="0" borderId="0" xfId="1451" applyFont="1" applyAlignment="1">
      <alignment horizontal="center" vertical="center"/>
    </xf>
    <xf numFmtId="0" fontId="123" fillId="0" borderId="0" xfId="1451" applyFont="1"/>
    <xf numFmtId="0" fontId="124" fillId="0" borderId="0" xfId="1451" applyFont="1"/>
    <xf numFmtId="0" fontId="114" fillId="0" borderId="0" xfId="1451" applyFont="1" applyAlignment="1">
      <alignment vertical="center"/>
    </xf>
    <xf numFmtId="0" fontId="114" fillId="0" borderId="0" xfId="1451" applyFont="1" applyAlignment="1">
      <alignment horizontal="center" vertical="center"/>
    </xf>
    <xf numFmtId="0" fontId="119" fillId="0" borderId="0" xfId="1451" applyFont="1" applyAlignment="1">
      <alignment horizontal="center" vertical="center"/>
    </xf>
    <xf numFmtId="0" fontId="119" fillId="0" borderId="0" xfId="1451" applyFont="1" applyAlignment="1">
      <alignment horizontal="center"/>
    </xf>
    <xf numFmtId="0" fontId="121" fillId="35" borderId="0" xfId="1451" applyFont="1" applyFill="1" applyAlignment="1">
      <alignment vertical="center"/>
    </xf>
    <xf numFmtId="0" fontId="124" fillId="0" borderId="19" xfId="1451" applyFont="1" applyBorder="1" applyAlignment="1">
      <alignment horizontal="center"/>
    </xf>
    <xf numFmtId="0" fontId="124" fillId="0" borderId="19" xfId="1451" applyFont="1" applyBorder="1"/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2" xfId="2673" applyFont="1" applyBorder="1" applyAlignment="1">
      <alignment horizontal="center" vertical="center" wrapText="1"/>
    </xf>
    <xf numFmtId="0" fontId="162" fillId="0" borderId="0" xfId="2673" applyFont="1" applyAlignment="1">
      <alignment horizontal="center" vertical="center" wrapText="1"/>
    </xf>
    <xf numFmtId="0" fontId="163" fillId="0" borderId="0" xfId="2673" applyFont="1" applyAlignment="1">
      <alignment vertical="center" wrapText="1"/>
    </xf>
    <xf numFmtId="0" fontId="164" fillId="0" borderId="0" xfId="2673" applyFont="1" applyAlignment="1">
      <alignment vertical="center" wrapText="1"/>
    </xf>
    <xf numFmtId="0" fontId="145" fillId="35" borderId="94" xfId="2673" applyFont="1" applyFill="1" applyBorder="1" applyAlignment="1">
      <alignment vertical="center" wrapText="1"/>
    </xf>
    <xf numFmtId="0" fontId="145" fillId="43" borderId="94" xfId="2673" applyFont="1" applyFill="1" applyBorder="1" applyAlignment="1">
      <alignment vertical="center" wrapText="1"/>
    </xf>
    <xf numFmtId="0" fontId="161" fillId="0" borderId="0" xfId="2673" applyFont="1" applyAlignment="1">
      <alignment vertical="center" wrapText="1"/>
    </xf>
    <xf numFmtId="0" fontId="167" fillId="0" borderId="0" xfId="2673" applyFont="1" applyAlignment="1">
      <alignment horizontal="center" vertical="center" wrapText="1"/>
    </xf>
    <xf numFmtId="1" fontId="168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3" fillId="35" borderId="32" xfId="2673" applyFont="1" applyFill="1" applyBorder="1" applyAlignment="1">
      <alignment vertical="center" wrapText="1"/>
    </xf>
    <xf numFmtId="0" fontId="133" fillId="43" borderId="32" xfId="2673" applyFont="1" applyFill="1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2" fontId="133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5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3" fillId="0" borderId="0" xfId="2675" applyFont="1" applyFill="1" applyBorder="1" applyAlignment="1">
      <alignment horizontal="center" vertical="center" wrapText="1"/>
    </xf>
    <xf numFmtId="1" fontId="133" fillId="0" borderId="50" xfId="2673" applyNumberFormat="1" applyFont="1" applyBorder="1" applyAlignment="1">
      <alignment vertical="center" wrapText="1"/>
    </xf>
    <xf numFmtId="0" fontId="169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2" fontId="169" fillId="0" borderId="0" xfId="2673" applyNumberFormat="1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70" fillId="0" borderId="0" xfId="2673" applyFont="1" applyAlignment="1">
      <alignment vertical="center" wrapText="1"/>
    </xf>
    <xf numFmtId="0" fontId="145" fillId="35" borderId="51" xfId="2673" applyFont="1" applyFill="1" applyBorder="1" applyAlignment="1">
      <alignment vertical="center" wrapText="1"/>
    </xf>
    <xf numFmtId="0" fontId="145" fillId="0" borderId="53" xfId="2673" applyFont="1" applyBorder="1" applyAlignment="1">
      <alignment horizontal="center" vertical="center" wrapText="1"/>
    </xf>
    <xf numFmtId="0" fontId="145" fillId="35" borderId="49" xfId="2673" applyFont="1" applyFill="1" applyBorder="1" applyAlignment="1">
      <alignment vertical="center" wrapText="1"/>
    </xf>
    <xf numFmtId="1" fontId="133" fillId="0" borderId="58" xfId="2673" applyNumberFormat="1" applyFont="1" applyBorder="1" applyAlignment="1">
      <alignment vertical="center" wrapText="1"/>
    </xf>
    <xf numFmtId="0" fontId="133" fillId="35" borderId="49" xfId="2673" applyFont="1" applyFill="1" applyBorder="1" applyAlignment="1">
      <alignment vertical="center" wrapText="1"/>
    </xf>
    <xf numFmtId="0" fontId="133" fillId="35" borderId="98" xfId="2673" applyFont="1" applyFill="1" applyBorder="1" applyAlignment="1">
      <alignment vertical="center" wrapText="1"/>
    </xf>
    <xf numFmtId="0" fontId="104" fillId="0" borderId="64" xfId="2673" applyFont="1" applyBorder="1" applyAlignment="1">
      <alignment horizontal="center" vertical="center" wrapText="1"/>
    </xf>
    <xf numFmtId="0" fontId="145" fillId="0" borderId="51" xfId="2673" applyFont="1" applyBorder="1" applyAlignment="1">
      <alignment vertical="center" wrapText="1"/>
    </xf>
    <xf numFmtId="0" fontId="145" fillId="0" borderId="49" xfId="2673" applyFont="1" applyBorder="1" applyAlignment="1">
      <alignment vertical="center" wrapText="1"/>
    </xf>
    <xf numFmtId="0" fontId="133" fillId="0" borderId="49" xfId="2673" applyFont="1" applyBorder="1" applyAlignment="1">
      <alignment vertical="center" wrapText="1"/>
    </xf>
    <xf numFmtId="0" fontId="133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8" fillId="0" borderId="21" xfId="1614" applyFont="1" applyBorder="1" applyAlignment="1">
      <alignment horizontal="center" vertical="center"/>
    </xf>
    <xf numFmtId="0" fontId="90" fillId="33" borderId="60" xfId="0" applyFont="1" applyFill="1" applyBorder="1" applyAlignment="1">
      <alignment horizontal="left" vertical="center"/>
    </xf>
    <xf numFmtId="0" fontId="90" fillId="33" borderId="61" xfId="0" applyFont="1" applyFill="1" applyBorder="1" applyAlignment="1">
      <alignment horizontal="left" vertical="center"/>
    </xf>
    <xf numFmtId="49" fontId="90" fillId="33" borderId="60" xfId="0" applyNumberFormat="1" applyFont="1" applyFill="1" applyBorder="1" applyAlignment="1">
      <alignment horizontal="left" vertical="center" wrapText="1"/>
    </xf>
    <xf numFmtId="49" fontId="90" fillId="33" borderId="61" xfId="0" applyNumberFormat="1" applyFont="1" applyFill="1" applyBorder="1" applyAlignment="1">
      <alignment horizontal="left" vertical="center"/>
    </xf>
    <xf numFmtId="41" fontId="151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6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0" fontId="114" fillId="33" borderId="0" xfId="0" applyFont="1" applyFill="1" applyAlignment="1">
      <alignment horizontal="left"/>
    </xf>
    <xf numFmtId="169" fontId="143" fillId="47" borderId="0" xfId="2672" applyNumberFormat="1" applyFont="1" applyFill="1" applyBorder="1" applyAlignment="1" applyProtection="1">
      <alignment horizontal="right" vertical="center"/>
    </xf>
    <xf numFmtId="0" fontId="4" fillId="0" borderId="20" xfId="1652" applyFont="1" applyBorder="1" applyAlignment="1">
      <alignment horizontal="center" vertical="center"/>
    </xf>
    <xf numFmtId="0" fontId="173" fillId="0" borderId="69" xfId="1450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26" fillId="48" borderId="21" xfId="1652" applyFont="1" applyFill="1" applyBorder="1" applyAlignment="1">
      <alignment vertical="center" wrapText="1"/>
    </xf>
    <xf numFmtId="0" fontId="126" fillId="0" borderId="20" xfId="1652" applyFont="1" applyBorder="1" applyAlignment="1">
      <alignment horizontal="center" vertical="center"/>
    </xf>
    <xf numFmtId="0" fontId="126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left" vertical="center" wrapText="1"/>
    </xf>
    <xf numFmtId="0" fontId="118" fillId="0" borderId="99" xfId="1450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0" fontId="19" fillId="0" borderId="21" xfId="1451" applyBorder="1" applyAlignment="1">
      <alignment horizontal="left" wrapText="1"/>
    </xf>
    <xf numFmtId="0" fontId="174" fillId="33" borderId="0" xfId="2678" applyFill="1"/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7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50" fillId="0" borderId="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162" fillId="42" borderId="91" xfId="2673" applyFont="1" applyFill="1" applyBorder="1" applyAlignment="1">
      <alignment horizontal="center" vertical="center" wrapText="1"/>
    </xf>
    <xf numFmtId="0" fontId="162" fillId="42" borderId="92" xfId="2673" applyFont="1" applyFill="1" applyBorder="1" applyAlignment="1">
      <alignment horizontal="center" vertical="center" wrapText="1"/>
    </xf>
    <xf numFmtId="0" fontId="162" fillId="42" borderId="93" xfId="2673" applyFont="1" applyFill="1" applyBorder="1" applyAlignment="1">
      <alignment horizontal="center" vertical="center" wrapText="1"/>
    </xf>
    <xf numFmtId="43" fontId="145" fillId="43" borderId="7" xfId="2673" applyNumberFormat="1" applyFont="1" applyFill="1" applyBorder="1" applyAlignment="1">
      <alignment horizontal="center" vertical="center" wrapText="1"/>
    </xf>
    <xf numFmtId="0" fontId="145" fillId="43" borderId="58" xfId="2673" applyFont="1" applyFill="1" applyBorder="1" applyAlignment="1">
      <alignment horizontal="center" vertical="center" wrapText="1"/>
    </xf>
    <xf numFmtId="1" fontId="133" fillId="43" borderId="7" xfId="2673" applyNumberFormat="1" applyFont="1" applyFill="1" applyBorder="1" applyAlignment="1">
      <alignment horizontal="center" vertical="center" wrapText="1"/>
    </xf>
    <xf numFmtId="1" fontId="133" fillId="43" borderId="58" xfId="2673" applyNumberFormat="1" applyFont="1" applyFill="1" applyBorder="1" applyAlignment="1">
      <alignment horizontal="center" vertical="center" wrapText="1"/>
    </xf>
    <xf numFmtId="0" fontId="133" fillId="43" borderId="7" xfId="2673" applyFont="1" applyFill="1" applyBorder="1" applyAlignment="1">
      <alignment horizontal="center" vertical="center" wrapText="1"/>
    </xf>
    <xf numFmtId="0" fontId="133" fillId="43" borderId="58" xfId="2673" applyFont="1" applyFill="1" applyBorder="1" applyAlignment="1">
      <alignment horizontal="center" vertical="center" wrapText="1"/>
    </xf>
    <xf numFmtId="1" fontId="145" fillId="0" borderId="3" xfId="2673" applyNumberFormat="1" applyFont="1" applyBorder="1" applyAlignment="1">
      <alignment horizontal="center" vertical="center" wrapText="1"/>
    </xf>
    <xf numFmtId="1" fontId="145" fillId="0" borderId="39" xfId="2673" applyNumberFormat="1" applyFont="1" applyBorder="1" applyAlignment="1">
      <alignment horizontal="center" vertical="center" wrapText="1"/>
    </xf>
    <xf numFmtId="2" fontId="133" fillId="43" borderId="62" xfId="2673" applyNumberFormat="1" applyFont="1" applyFill="1" applyBorder="1" applyAlignment="1">
      <alignment horizontal="center" vertical="center" wrapText="1"/>
    </xf>
    <xf numFmtId="2" fontId="133" fillId="43" borderId="95" xfId="2673" applyNumberFormat="1" applyFont="1" applyFill="1" applyBorder="1" applyAlignment="1">
      <alignment horizontal="center" vertical="center" wrapText="1"/>
    </xf>
    <xf numFmtId="0" fontId="165" fillId="0" borderId="50" xfId="2673" applyFont="1" applyBorder="1" applyAlignment="1">
      <alignment horizontal="center" vertical="center" wrapText="1"/>
    </xf>
    <xf numFmtId="0" fontId="165" fillId="0" borderId="58" xfId="2673" applyFont="1" applyBorder="1" applyAlignment="1">
      <alignment horizontal="center" vertical="center" wrapText="1"/>
    </xf>
    <xf numFmtId="0" fontId="165" fillId="44" borderId="3" xfId="2673" applyFont="1" applyFill="1" applyBorder="1" applyAlignment="1">
      <alignment horizontal="center" vertical="center" wrapText="1"/>
    </xf>
    <xf numFmtId="0" fontId="165" fillId="44" borderId="39" xfId="2673" applyFont="1" applyFill="1" applyBorder="1" applyAlignment="1">
      <alignment horizontal="center" vertical="center" wrapText="1"/>
    </xf>
    <xf numFmtId="1" fontId="133" fillId="0" borderId="3" xfId="2673" applyNumberFormat="1" applyFont="1" applyBorder="1" applyAlignment="1">
      <alignment horizontal="center" vertical="center" wrapText="1"/>
    </xf>
    <xf numFmtId="1" fontId="133" fillId="0" borderId="39" xfId="2673" applyNumberFormat="1" applyFont="1" applyBorder="1" applyAlignment="1">
      <alignment horizontal="center" vertical="center" wrapText="1"/>
    </xf>
    <xf numFmtId="2" fontId="133" fillId="0" borderId="3" xfId="2673" applyNumberFormat="1" applyFont="1" applyBorder="1" applyAlignment="1">
      <alignment horizontal="center" vertical="center" wrapText="1"/>
    </xf>
    <xf numFmtId="2" fontId="133" fillId="0" borderId="39" xfId="2673" applyNumberFormat="1" applyFont="1" applyBorder="1" applyAlignment="1">
      <alignment horizontal="center" vertical="center" wrapText="1"/>
    </xf>
    <xf numFmtId="2" fontId="133" fillId="45" borderId="3" xfId="2673" applyNumberFormat="1" applyFont="1" applyFill="1" applyBorder="1" applyAlignment="1">
      <alignment horizontal="center" vertical="center" wrapText="1"/>
    </xf>
    <xf numFmtId="2" fontId="133" fillId="45" borderId="39" xfId="2673" applyNumberFormat="1" applyFont="1" applyFill="1" applyBorder="1" applyAlignment="1">
      <alignment horizontal="center" vertical="center" wrapText="1"/>
    </xf>
    <xf numFmtId="9" fontId="133" fillId="35" borderId="64" xfId="2675" applyFont="1" applyFill="1" applyBorder="1" applyAlignment="1">
      <alignment horizontal="center" vertical="center" wrapText="1"/>
    </xf>
    <xf numFmtId="9" fontId="133" fillId="35" borderId="65" xfId="2675" applyFont="1" applyFill="1" applyBorder="1" applyAlignment="1">
      <alignment horizontal="center" vertical="center" wrapText="1"/>
    </xf>
    <xf numFmtId="2" fontId="133" fillId="35" borderId="3" xfId="2673" applyNumberFormat="1" applyFont="1" applyFill="1" applyBorder="1" applyAlignment="1">
      <alignment horizontal="center" vertical="center" wrapText="1"/>
    </xf>
    <xf numFmtId="2" fontId="133" fillId="35" borderId="39" xfId="2673" applyNumberFormat="1" applyFont="1" applyFill="1" applyBorder="1" applyAlignment="1">
      <alignment horizontal="center" vertical="center" wrapText="1"/>
    </xf>
    <xf numFmtId="0" fontId="6" fillId="0" borderId="96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97" xfId="2673" applyBorder="1" applyAlignment="1">
      <alignment horizontal="center" vertical="center" wrapText="1"/>
    </xf>
    <xf numFmtId="9" fontId="169" fillId="0" borderId="0" xfId="2675" applyFont="1" applyFill="1" applyBorder="1" applyAlignment="1">
      <alignment horizontal="center" vertical="center" wrapText="1"/>
    </xf>
    <xf numFmtId="0" fontId="166" fillId="37" borderId="0" xfId="2673" applyFont="1" applyFill="1" applyAlignment="1">
      <alignment horizontal="left" vertical="center" wrapText="1"/>
    </xf>
    <xf numFmtId="43" fontId="145" fillId="35" borderId="7" xfId="2673" applyNumberFormat="1" applyFont="1" applyFill="1" applyBorder="1" applyAlignment="1">
      <alignment horizontal="center" vertical="center" wrapText="1"/>
    </xf>
    <xf numFmtId="0" fontId="145" fillId="35" borderId="58" xfId="2673" applyFont="1" applyFill="1" applyBorder="1" applyAlignment="1">
      <alignment horizontal="center" vertical="center" wrapText="1"/>
    </xf>
    <xf numFmtId="2" fontId="133" fillId="35" borderId="62" xfId="2673" applyNumberFormat="1" applyFont="1" applyFill="1" applyBorder="1" applyAlignment="1">
      <alignment horizontal="center" vertical="center" wrapText="1"/>
    </xf>
    <xf numFmtId="2" fontId="133" fillId="35" borderId="95" xfId="2673" applyNumberFormat="1" applyFont="1" applyFill="1" applyBorder="1" applyAlignment="1">
      <alignment horizontal="center" vertical="center" wrapText="1"/>
    </xf>
    <xf numFmtId="0" fontId="162" fillId="41" borderId="91" xfId="2673" applyFont="1" applyFill="1" applyBorder="1" applyAlignment="1">
      <alignment horizontal="center" vertical="center" wrapText="1"/>
    </xf>
    <xf numFmtId="0" fontId="162" fillId="41" borderId="92" xfId="2673" applyFont="1" applyFill="1" applyBorder="1" applyAlignment="1">
      <alignment horizontal="center" vertical="center" wrapText="1"/>
    </xf>
    <xf numFmtId="0" fontId="162" fillId="41" borderId="93" xfId="2673" applyFont="1" applyFill="1" applyBorder="1" applyAlignment="1">
      <alignment horizontal="center" vertical="center" wrapText="1"/>
    </xf>
    <xf numFmtId="0" fontId="133" fillId="35" borderId="7" xfId="2673" applyFont="1" applyFill="1" applyBorder="1" applyAlignment="1">
      <alignment horizontal="center" vertical="center" wrapText="1"/>
    </xf>
    <xf numFmtId="0" fontId="133" fillId="35" borderId="58" xfId="2673" applyFont="1" applyFill="1" applyBorder="1" applyAlignment="1">
      <alignment horizontal="center" vertical="center" wrapText="1"/>
    </xf>
    <xf numFmtId="1" fontId="145" fillId="35" borderId="7" xfId="2673" applyNumberFormat="1" applyFont="1" applyFill="1" applyBorder="1" applyAlignment="1">
      <alignment horizontal="center" vertical="center" wrapText="1"/>
    </xf>
    <xf numFmtId="1" fontId="145" fillId="35" borderId="58" xfId="2673" applyNumberFormat="1" applyFont="1" applyFill="1" applyBorder="1" applyAlignment="1">
      <alignment horizontal="center" vertical="center" wrapText="1"/>
    </xf>
    <xf numFmtId="43" fontId="145" fillId="0" borderId="53" xfId="2673" applyNumberFormat="1" applyFont="1" applyBorder="1" applyAlignment="1">
      <alignment horizontal="center" vertical="center" wrapText="1"/>
    </xf>
    <xf numFmtId="0" fontId="145" fillId="0" borderId="54" xfId="2673" applyFont="1" applyBorder="1" applyAlignment="1">
      <alignment horizontal="center" vertical="center" wrapText="1"/>
    </xf>
    <xf numFmtId="9" fontId="133" fillId="0" borderId="64" xfId="2675" applyFont="1" applyFill="1" applyBorder="1" applyAlignment="1">
      <alignment horizontal="center" vertical="center" wrapText="1"/>
    </xf>
    <xf numFmtId="9" fontId="133" fillId="0" borderId="65" xfId="2675" applyFont="1" applyFill="1" applyBorder="1" applyAlignment="1">
      <alignment horizontal="center" vertical="center" wrapText="1"/>
    </xf>
    <xf numFmtId="0" fontId="7" fillId="34" borderId="77" xfId="2670" applyFill="1" applyBorder="1" applyAlignment="1">
      <alignment horizontal="center" vertical="center"/>
    </xf>
    <xf numFmtId="0" fontId="137" fillId="0" borderId="78" xfId="2670" applyFont="1" applyBorder="1" applyAlignment="1">
      <alignment horizontal="left" vertical="center"/>
    </xf>
    <xf numFmtId="0" fontId="110" fillId="38" borderId="3" xfId="1538" applyFill="1" applyBorder="1" applyAlignment="1">
      <alignment horizontal="center" vertical="center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 wrapText="1"/>
    </xf>
    <xf numFmtId="0" fontId="50" fillId="0" borderId="44" xfId="1538" applyFont="1" applyBorder="1" applyAlignment="1">
      <alignment horizontal="left"/>
    </xf>
    <xf numFmtId="0" fontId="149" fillId="0" borderId="0" xfId="1644" applyFont="1" applyAlignment="1">
      <alignment horizontal="center" vertical="center"/>
    </xf>
    <xf numFmtId="37" fontId="156" fillId="0" borderId="19" xfId="1614" applyNumberFormat="1" applyFont="1" applyBorder="1" applyAlignment="1">
      <alignment horizontal="center"/>
    </xf>
    <xf numFmtId="0" fontId="152" fillId="0" borderId="0" xfId="1614" applyFont="1" applyAlignment="1">
      <alignment horizontal="left" vertical="top" wrapText="1"/>
    </xf>
    <xf numFmtId="37" fontId="150" fillId="0" borderId="0" xfId="1614" applyNumberFormat="1" applyFont="1" applyAlignment="1">
      <alignment horizontal="center"/>
    </xf>
    <xf numFmtId="0" fontId="171" fillId="0" borderId="26" xfId="1614" applyFont="1" applyBorder="1" applyAlignment="1">
      <alignment horizontal="left" vertical="center" wrapText="1"/>
    </xf>
    <xf numFmtId="0" fontId="171" fillId="0" borderId="36" xfId="1614" applyFont="1" applyBorder="1" applyAlignment="1">
      <alignment horizontal="left" vertical="center" wrapText="1"/>
    </xf>
    <xf numFmtId="0" fontId="171" fillId="0" borderId="48" xfId="1614" applyFont="1" applyBorder="1" applyAlignment="1">
      <alignment horizontal="left" vertical="center" wrapText="1"/>
    </xf>
    <xf numFmtId="0" fontId="171" fillId="0" borderId="28" xfId="1614" applyFont="1" applyBorder="1" applyAlignment="1">
      <alignment horizontal="left" vertical="center" wrapText="1"/>
    </xf>
    <xf numFmtId="0" fontId="171" fillId="0" borderId="0" xfId="1614" applyFont="1" applyAlignment="1">
      <alignment horizontal="left" vertical="center" wrapText="1"/>
    </xf>
    <xf numFmtId="0" fontId="171" fillId="0" borderId="37" xfId="1614" applyFont="1" applyBorder="1" applyAlignment="1">
      <alignment horizontal="left" vertical="center" wrapText="1"/>
    </xf>
    <xf numFmtId="0" fontId="155" fillId="0" borderId="0" xfId="1652" applyFont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0" fontId="154" fillId="35" borderId="53" xfId="1614" applyFont="1" applyFill="1" applyBorder="1" applyAlignment="1">
      <alignment horizontal="center" vertical="center"/>
    </xf>
    <xf numFmtId="0" fontId="154" fillId="35" borderId="54" xfId="1614" applyFont="1" applyFill="1" applyBorder="1" applyAlignment="1">
      <alignment horizontal="center" vertical="center"/>
    </xf>
    <xf numFmtId="0" fontId="154" fillId="35" borderId="35" xfId="1652" applyFont="1" applyFill="1" applyBorder="1" applyAlignment="1">
      <alignment horizontal="center" vertical="center" wrapText="1"/>
    </xf>
    <xf numFmtId="0" fontId="154" fillId="35" borderId="33" xfId="1652" applyFont="1" applyFill="1" applyBorder="1" applyAlignment="1">
      <alignment horizontal="center" vertical="center" wrapText="1"/>
    </xf>
    <xf numFmtId="0" fontId="154" fillId="35" borderId="3" xfId="1614" applyFont="1" applyFill="1" applyBorder="1" applyAlignment="1">
      <alignment horizontal="center" vertical="center"/>
    </xf>
    <xf numFmtId="0" fontId="154" fillId="35" borderId="39" xfId="1614" applyFont="1" applyFill="1" applyBorder="1" applyAlignment="1">
      <alignment horizontal="center" vertical="center"/>
    </xf>
    <xf numFmtId="0" fontId="152" fillId="30" borderId="3" xfId="1614" applyFont="1" applyFill="1" applyBorder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37" fontId="150" fillId="0" borderId="36" xfId="1614" applyNumberFormat="1" applyFont="1" applyBorder="1" applyAlignment="1">
      <alignment horizontal="center"/>
    </xf>
    <xf numFmtId="0" fontId="154" fillId="35" borderId="51" xfId="1614" applyFont="1" applyFill="1" applyBorder="1" applyAlignment="1">
      <alignment horizontal="center" vertical="center"/>
    </xf>
    <xf numFmtId="0" fontId="154" fillId="35" borderId="49" xfId="1614" applyFont="1" applyFill="1" applyBorder="1" applyAlignment="1">
      <alignment horizontal="center" vertical="center"/>
    </xf>
    <xf numFmtId="0" fontId="154" fillId="35" borderId="52" xfId="1614" applyFont="1" applyFill="1" applyBorder="1" applyAlignment="1">
      <alignment horizontal="center" vertical="center"/>
    </xf>
    <xf numFmtId="0" fontId="154" fillId="35" borderId="21" xfId="1614" applyFont="1" applyFill="1" applyBorder="1" applyAlignment="1">
      <alignment horizontal="center" vertical="center"/>
    </xf>
    <xf numFmtId="0" fontId="154" fillId="35" borderId="33" xfId="1614" applyFont="1" applyFill="1" applyBorder="1" applyAlignment="1">
      <alignment horizontal="center" vertical="center"/>
    </xf>
    <xf numFmtId="0" fontId="154" fillId="35" borderId="52" xfId="1614" applyFont="1" applyFill="1" applyBorder="1" applyAlignment="1">
      <alignment horizontal="center" vertical="center" wrapText="1"/>
    </xf>
    <xf numFmtId="0" fontId="154" fillId="35" borderId="21" xfId="1614" applyFont="1" applyFill="1" applyBorder="1" applyAlignment="1">
      <alignment horizontal="center" vertical="center" wrapText="1"/>
    </xf>
    <xf numFmtId="0" fontId="154" fillId="35" borderId="33" xfId="1614" applyFont="1" applyFill="1" applyBorder="1" applyAlignment="1">
      <alignment horizontal="center" vertical="center" wrapText="1"/>
    </xf>
    <xf numFmtId="0" fontId="113" fillId="33" borderId="7" xfId="0" applyFont="1" applyFill="1" applyBorder="1" applyAlignment="1">
      <alignment horizontal="center"/>
    </xf>
    <xf numFmtId="0" fontId="113" fillId="33" borderId="41" xfId="0" applyFont="1" applyFill="1" applyBorder="1" applyAlignment="1">
      <alignment horizontal="center"/>
    </xf>
    <xf numFmtId="0" fontId="113" fillId="33" borderId="64" xfId="0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13" fillId="33" borderId="39" xfId="0" applyFont="1" applyFill="1" applyBorder="1" applyAlignment="1">
      <alignment horizontal="center"/>
    </xf>
    <xf numFmtId="0" fontId="113" fillId="33" borderId="62" xfId="0" applyFont="1" applyFill="1" applyBorder="1" applyAlignment="1">
      <alignment horizontal="center"/>
    </xf>
    <xf numFmtId="0" fontId="113" fillId="33" borderId="63" xfId="0" applyFont="1" applyFill="1" applyBorder="1" applyAlignment="1">
      <alignment horizontal="center"/>
    </xf>
    <xf numFmtId="0" fontId="113" fillId="33" borderId="65" xfId="0" applyFont="1" applyFill="1" applyBorder="1" applyAlignment="1">
      <alignment horizontal="center"/>
    </xf>
    <xf numFmtId="0" fontId="113" fillId="33" borderId="56" xfId="0" applyFont="1" applyFill="1" applyBorder="1" applyAlignment="1">
      <alignment horizontal="center" vertical="center"/>
    </xf>
    <xf numFmtId="0" fontId="113" fillId="33" borderId="57" xfId="0" applyFont="1" applyFill="1" applyBorder="1" applyAlignment="1">
      <alignment horizontal="center" vertical="center"/>
    </xf>
    <xf numFmtId="0" fontId="113" fillId="33" borderId="0" xfId="0" applyFont="1" applyFill="1" applyAlignment="1">
      <alignment horizontal="center" vertical="center" wrapText="1"/>
    </xf>
    <xf numFmtId="0" fontId="113" fillId="33" borderId="37" xfId="0" applyFont="1" applyFill="1" applyBorder="1" applyAlignment="1">
      <alignment horizontal="center" vertical="center" wrapText="1"/>
    </xf>
    <xf numFmtId="0" fontId="113" fillId="33" borderId="44" xfId="0" applyFont="1" applyFill="1" applyBorder="1" applyAlignment="1">
      <alignment horizontal="center" vertical="center" wrapText="1"/>
    </xf>
    <xf numFmtId="0" fontId="113" fillId="33" borderId="45" xfId="0" applyFont="1" applyFill="1" applyBorder="1" applyAlignment="1">
      <alignment horizontal="center" vertical="center" wrapText="1"/>
    </xf>
    <xf numFmtId="15" fontId="113" fillId="33" borderId="3" xfId="0" applyNumberFormat="1" applyFont="1" applyFill="1" applyBorder="1" applyAlignment="1">
      <alignment horizontal="center"/>
    </xf>
    <xf numFmtId="0" fontId="90" fillId="33" borderId="59" xfId="0" applyFont="1" applyFill="1" applyBorder="1" applyAlignment="1">
      <alignment horizontal="center" vertical="center"/>
    </xf>
    <xf numFmtId="0" fontId="90" fillId="33" borderId="40" xfId="0" applyFont="1" applyFill="1" applyBorder="1" applyAlignment="1">
      <alignment horizontal="center" vertical="center"/>
    </xf>
    <xf numFmtId="0" fontId="118" fillId="33" borderId="75" xfId="0" applyFont="1" applyFill="1" applyBorder="1" applyAlignment="1">
      <alignment horizontal="center" vertical="center" wrapText="1"/>
    </xf>
    <xf numFmtId="0" fontId="118" fillId="33" borderId="76" xfId="0" applyFont="1" applyFill="1" applyBorder="1" applyAlignment="1">
      <alignment horizontal="center" vertical="center" wrapText="1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114" fillId="33" borderId="18" xfId="0" applyFont="1" applyFill="1" applyBorder="1" applyAlignment="1">
      <alignment horizontal="left" vertical="top" wrapText="1"/>
    </xf>
    <xf numFmtId="0" fontId="114" fillId="33" borderId="0" xfId="0" applyFont="1" applyFill="1" applyAlignment="1">
      <alignment horizontal="left" vertical="top" wrapText="1"/>
    </xf>
    <xf numFmtId="0" fontId="90" fillId="33" borderId="80" xfId="0" applyFont="1" applyFill="1" applyBorder="1" applyAlignment="1">
      <alignment horizontal="center" vertical="center"/>
    </xf>
    <xf numFmtId="0" fontId="90" fillId="33" borderId="81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center"/>
    </xf>
    <xf numFmtId="49" fontId="113" fillId="33" borderId="41" xfId="0" applyNumberFormat="1" applyFont="1" applyFill="1" applyBorder="1" applyAlignment="1">
      <alignment horizontal="center" vertical="center"/>
    </xf>
    <xf numFmtId="0" fontId="117" fillId="33" borderId="73" xfId="0" applyFont="1" applyFill="1" applyBorder="1" applyAlignment="1">
      <alignment horizontal="center" vertical="center"/>
    </xf>
    <xf numFmtId="0" fontId="117" fillId="33" borderId="74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top" wrapText="1"/>
    </xf>
    <xf numFmtId="49" fontId="113" fillId="33" borderId="41" xfId="0" applyNumberFormat="1" applyFont="1" applyFill="1" applyBorder="1" applyAlignment="1">
      <alignment horizontal="center" vertical="top" wrapText="1"/>
    </xf>
    <xf numFmtId="49" fontId="113" fillId="33" borderId="50" xfId="0" applyNumberFormat="1" applyFont="1" applyFill="1" applyBorder="1" applyAlignment="1">
      <alignment horizontal="center" vertical="center"/>
    </xf>
    <xf numFmtId="0" fontId="90" fillId="33" borderId="60" xfId="0" applyFont="1" applyFill="1" applyBorder="1" applyAlignment="1">
      <alignment horizontal="left" vertical="center"/>
    </xf>
    <xf numFmtId="0" fontId="90" fillId="33" borderId="61" xfId="0" applyFont="1" applyFill="1" applyBorder="1" applyAlignment="1">
      <alignment horizontal="left" vertical="center"/>
    </xf>
    <xf numFmtId="0" fontId="90" fillId="33" borderId="79" xfId="0" applyFont="1" applyFill="1" applyBorder="1" applyAlignment="1">
      <alignment horizontal="left" vertical="center"/>
    </xf>
    <xf numFmtId="0" fontId="131" fillId="33" borderId="60" xfId="0" applyFont="1" applyFill="1" applyBorder="1" applyAlignment="1">
      <alignment horizontal="left" vertical="center"/>
    </xf>
    <xf numFmtId="0" fontId="131" fillId="33" borderId="61" xfId="0" applyFont="1" applyFill="1" applyBorder="1" applyAlignment="1">
      <alignment horizontal="left" vertical="center"/>
    </xf>
    <xf numFmtId="49" fontId="113" fillId="33" borderId="50" xfId="0" applyNumberFormat="1" applyFont="1" applyFill="1" applyBorder="1" applyAlignment="1">
      <alignment horizontal="left" vertical="center"/>
    </xf>
    <xf numFmtId="49" fontId="113" fillId="33" borderId="41" xfId="0" applyNumberFormat="1" applyFont="1" applyFill="1" applyBorder="1" applyAlignment="1">
      <alignment horizontal="left" vertical="center"/>
    </xf>
    <xf numFmtId="0" fontId="114" fillId="33" borderId="18" xfId="0" applyFont="1" applyFill="1" applyBorder="1" applyAlignment="1">
      <alignment horizontal="left"/>
    </xf>
    <xf numFmtId="0" fontId="114" fillId="33" borderId="0" xfId="0" applyFont="1" applyFill="1" applyAlignment="1">
      <alignment horizontal="left"/>
    </xf>
    <xf numFmtId="0" fontId="114" fillId="33" borderId="37" xfId="0" applyFont="1" applyFill="1" applyBorder="1" applyAlignment="1">
      <alignment horizontal="left"/>
    </xf>
    <xf numFmtId="0" fontId="130" fillId="33" borderId="50" xfId="0" applyFont="1" applyFill="1" applyBorder="1" applyAlignment="1">
      <alignment horizontal="center" vertical="center"/>
    </xf>
    <xf numFmtId="0" fontId="130" fillId="33" borderId="7" xfId="0" applyFont="1" applyFill="1" applyBorder="1" applyAlignment="1">
      <alignment horizontal="center" vertical="center"/>
    </xf>
    <xf numFmtId="0" fontId="130" fillId="33" borderId="41" xfId="0" applyFont="1" applyFill="1" applyBorder="1" applyAlignment="1">
      <alignment horizontal="center" vertical="center"/>
    </xf>
    <xf numFmtId="0" fontId="114" fillId="33" borderId="5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center"/>
    </xf>
    <xf numFmtId="0" fontId="114" fillId="33" borderId="58" xfId="0" applyFont="1" applyFill="1" applyBorder="1" applyAlignment="1">
      <alignment horizontal="center" vertical="center"/>
    </xf>
    <xf numFmtId="208" fontId="118" fillId="0" borderId="73" xfId="1450" applyNumberFormat="1" applyFont="1" applyBorder="1" applyAlignment="1">
      <alignment horizontal="left" vertical="center"/>
    </xf>
    <xf numFmtId="208" fontId="173" fillId="0" borderId="74" xfId="1450" applyNumberFormat="1" applyFont="1" applyBorder="1" applyAlignment="1">
      <alignment horizontal="left" vertical="center"/>
    </xf>
    <xf numFmtId="49" fontId="131" fillId="33" borderId="59" xfId="0" applyNumberFormat="1" applyFont="1" applyFill="1" applyBorder="1" applyAlignment="1">
      <alignment horizontal="left" vertical="center"/>
    </xf>
    <xf numFmtId="49" fontId="131" fillId="33" borderId="40" xfId="0" applyNumberFormat="1" applyFont="1" applyFill="1" applyBorder="1" applyAlignment="1">
      <alignment horizontal="left" vertical="center"/>
    </xf>
    <xf numFmtId="0" fontId="113" fillId="33" borderId="56" xfId="0" applyFont="1" applyFill="1" applyBorder="1" applyAlignment="1">
      <alignment horizontal="center"/>
    </xf>
    <xf numFmtId="0" fontId="113" fillId="33" borderId="57" xfId="0" applyFont="1" applyFill="1" applyBorder="1" applyAlignment="1">
      <alignment horizontal="center"/>
    </xf>
    <xf numFmtId="0" fontId="129" fillId="35" borderId="55" xfId="0" applyFont="1" applyFill="1" applyBorder="1" applyAlignment="1">
      <alignment horizontal="center" vertical="center"/>
    </xf>
    <xf numFmtId="0" fontId="129" fillId="35" borderId="36" xfId="0" applyFont="1" applyFill="1" applyBorder="1" applyAlignment="1">
      <alignment horizontal="center" vertical="center"/>
    </xf>
    <xf numFmtId="0" fontId="129" fillId="35" borderId="48" xfId="0" applyFont="1" applyFill="1" applyBorder="1" applyAlignment="1">
      <alignment horizontal="center" vertical="center"/>
    </xf>
    <xf numFmtId="0" fontId="129" fillId="35" borderId="43" xfId="0" applyFont="1" applyFill="1" applyBorder="1" applyAlignment="1">
      <alignment horizontal="center" vertical="center"/>
    </xf>
    <xf numFmtId="0" fontId="129" fillId="35" borderId="44" xfId="0" applyFont="1" applyFill="1" applyBorder="1" applyAlignment="1">
      <alignment horizontal="center" vertical="center"/>
    </xf>
    <xf numFmtId="0" fontId="129" fillId="35" borderId="45" xfId="0" applyFont="1" applyFill="1" applyBorder="1" applyAlignment="1">
      <alignment horizontal="center" vertical="center"/>
    </xf>
    <xf numFmtId="0" fontId="121" fillId="35" borderId="26" xfId="1451" applyFont="1" applyFill="1" applyBorder="1" applyAlignment="1">
      <alignment horizontal="center" vertical="center"/>
    </xf>
    <xf numFmtId="0" fontId="121" fillId="35" borderId="36" xfId="1451" applyFont="1" applyFill="1" applyBorder="1" applyAlignment="1">
      <alignment horizontal="center" vertical="center"/>
    </xf>
    <xf numFmtId="0" fontId="121" fillId="35" borderId="48" xfId="1451" applyFont="1" applyFill="1" applyBorder="1" applyAlignment="1">
      <alignment horizontal="center" vertical="center"/>
    </xf>
    <xf numFmtId="0" fontId="121" fillId="35" borderId="28" xfId="1451" applyFont="1" applyFill="1" applyBorder="1" applyAlignment="1">
      <alignment horizontal="center" vertical="center"/>
    </xf>
    <xf numFmtId="0" fontId="121" fillId="35" borderId="0" xfId="1451" applyFont="1" applyFill="1" applyAlignment="1">
      <alignment horizontal="center" vertical="center"/>
    </xf>
    <xf numFmtId="0" fontId="121" fillId="35" borderId="37" xfId="1451" applyFont="1" applyFill="1" applyBorder="1" applyAlignment="1">
      <alignment horizontal="center" vertical="center"/>
    </xf>
    <xf numFmtId="0" fontId="121" fillId="35" borderId="34" xfId="1451" applyFont="1" applyFill="1" applyBorder="1" applyAlignment="1">
      <alignment horizontal="center" vertical="center"/>
    </xf>
    <xf numFmtId="0" fontId="121" fillId="35" borderId="19" xfId="1451" applyFont="1" applyFill="1" applyBorder="1" applyAlignment="1">
      <alignment horizontal="center" vertical="center"/>
    </xf>
    <xf numFmtId="0" fontId="121" fillId="35" borderId="31" xfId="1451" applyFont="1" applyFill="1" applyBorder="1" applyAlignment="1">
      <alignment horizontal="center" vertical="center"/>
    </xf>
    <xf numFmtId="0" fontId="159" fillId="0" borderId="0" xfId="1451" applyFont="1" applyAlignment="1">
      <alignment horizontal="left"/>
    </xf>
  </cellXfs>
  <cellStyles count="267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" xfId="2678" builtinId="8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143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theme" Target="theme/theme1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tyles" Target="style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sharedStrings" Target="sharedString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0.22000000000000003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0936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0937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5144875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17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329626</xdr:colOff>
      <xdr:row>1</xdr:row>
      <xdr:rowOff>78441</xdr:rowOff>
    </xdr:from>
    <xdr:to>
      <xdr:col>21</xdr:col>
      <xdr:colOff>44925</xdr:colOff>
      <xdr:row>6</xdr:row>
      <xdr:rowOff>76911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AAAFD724-B75A-47C3-9399-441148F7BB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39391" y="235323"/>
          <a:ext cx="858299" cy="782882"/>
        </a:xfrm>
        <a:prstGeom prst="rect">
          <a:avLst/>
        </a:prstGeom>
      </xdr:spPr>
    </xdr:pic>
    <xdr:clientData/>
  </xdr:twoCellAnchor>
  <xdr:twoCellAnchor>
    <xdr:from>
      <xdr:col>26</xdr:col>
      <xdr:colOff>11987</xdr:colOff>
      <xdr:row>5</xdr:row>
      <xdr:rowOff>28195</xdr:rowOff>
    </xdr:from>
    <xdr:to>
      <xdr:col>29</xdr:col>
      <xdr:colOff>298573</xdr:colOff>
      <xdr:row>16</xdr:row>
      <xdr:rowOff>88920</xdr:rowOff>
    </xdr:to>
    <xdr:grpSp>
      <xdr:nvGrpSpPr>
        <xdr:cNvPr id="130" name="Group 129">
          <a:extLst>
            <a:ext uri="{FF2B5EF4-FFF2-40B4-BE49-F238E27FC236}">
              <a16:creationId xmlns:a16="http://schemas.microsoft.com/office/drawing/2014/main" id="{45BE0520-4E5A-4245-B259-DA32F71DB8DC}"/>
            </a:ext>
          </a:extLst>
        </xdr:cNvPr>
        <xdr:cNvGrpSpPr/>
      </xdr:nvGrpSpPr>
      <xdr:grpSpPr>
        <a:xfrm>
          <a:off x="9496166" y="803802"/>
          <a:ext cx="1484014" cy="1720797"/>
          <a:chOff x="9713886" y="808452"/>
          <a:chExt cx="1342558" cy="1766630"/>
        </a:xfrm>
      </xdr:grpSpPr>
      <xdr:grpSp>
        <xdr:nvGrpSpPr>
          <xdr:cNvPr id="131" name="Group 13">
            <a:extLst>
              <a:ext uri="{FF2B5EF4-FFF2-40B4-BE49-F238E27FC236}">
                <a16:creationId xmlns:a16="http://schemas.microsoft.com/office/drawing/2014/main" id="{9412D9AA-5951-4E10-BEC5-7109B30BFE46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90" name="Oval 1">
              <a:extLst>
                <a:ext uri="{FF2B5EF4-FFF2-40B4-BE49-F238E27FC236}">
                  <a16:creationId xmlns:a16="http://schemas.microsoft.com/office/drawing/2014/main" id="{AF206DC6-6406-4918-B6F1-BAE64D7D59E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91" name="Straight Connector 3">
              <a:extLst>
                <a:ext uri="{FF2B5EF4-FFF2-40B4-BE49-F238E27FC236}">
                  <a16:creationId xmlns:a16="http://schemas.microsoft.com/office/drawing/2014/main" id="{E83BC8C5-4828-4EA8-8419-9B2555EF752E}"/>
                </a:ext>
              </a:extLst>
            </xdr:cNvPr>
            <xdr:cNvCxnSpPr>
              <a:stCxn id="147" idx="1"/>
              <a:endCxn id="14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2" name="Straight Connector 7">
              <a:extLst>
                <a:ext uri="{FF2B5EF4-FFF2-40B4-BE49-F238E27FC236}">
                  <a16:creationId xmlns:a16="http://schemas.microsoft.com/office/drawing/2014/main" id="{B4FED70A-C867-4B9A-8B26-B6A9B8A5CA93}"/>
                </a:ext>
              </a:extLst>
            </xdr:cNvPr>
            <xdr:cNvCxnSpPr>
              <a:stCxn id="147" idx="3"/>
              <a:endCxn id="14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2" name="Oval 131">
            <a:extLst>
              <a:ext uri="{FF2B5EF4-FFF2-40B4-BE49-F238E27FC236}">
                <a16:creationId xmlns:a16="http://schemas.microsoft.com/office/drawing/2014/main" id="{F5F01811-1A60-4F9B-99C3-EE39BDC92F73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3" name="Group 132">
            <a:extLst>
              <a:ext uri="{FF2B5EF4-FFF2-40B4-BE49-F238E27FC236}">
                <a16:creationId xmlns:a16="http://schemas.microsoft.com/office/drawing/2014/main" id="{786485FE-823A-4AA5-A10A-929A5E9D4217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87" name="Oval 186">
              <a:extLst>
                <a:ext uri="{FF2B5EF4-FFF2-40B4-BE49-F238E27FC236}">
                  <a16:creationId xmlns:a16="http://schemas.microsoft.com/office/drawing/2014/main" id="{BF5D4B79-1AEC-4989-97DD-47BF1FAF4D33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88" name="Straight Connector 187">
              <a:extLst>
                <a:ext uri="{FF2B5EF4-FFF2-40B4-BE49-F238E27FC236}">
                  <a16:creationId xmlns:a16="http://schemas.microsoft.com/office/drawing/2014/main" id="{8CE540F6-9455-4DD4-92BA-6D712E2E666C}"/>
                </a:ext>
              </a:extLst>
            </xdr:cNvPr>
            <xdr:cNvCxnSpPr>
              <a:stCxn id="187" idx="1"/>
              <a:endCxn id="18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9" name="Straight Connector 188">
              <a:extLst>
                <a:ext uri="{FF2B5EF4-FFF2-40B4-BE49-F238E27FC236}">
                  <a16:creationId xmlns:a16="http://schemas.microsoft.com/office/drawing/2014/main" id="{139BC90A-F074-4140-A64C-F1530AFB977C}"/>
                </a:ext>
              </a:extLst>
            </xdr:cNvPr>
            <xdr:cNvCxnSpPr>
              <a:stCxn id="187" idx="3"/>
              <a:endCxn id="18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4" name="Oval 133">
            <a:extLst>
              <a:ext uri="{FF2B5EF4-FFF2-40B4-BE49-F238E27FC236}">
                <a16:creationId xmlns:a16="http://schemas.microsoft.com/office/drawing/2014/main" id="{70266B81-2C26-43E5-A4F2-AFFC4124490E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F24A3AE0-2794-4C47-839A-2C6FE73B6698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54315F1A-D0B3-4121-9BC0-F87769F8B388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8C108C54-148B-4915-976D-BF88FDA15332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18076C5C-FA00-4E1B-AD3E-3B93F9DD4213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F062578B-CCE0-4F26-817E-4BA749E8A23B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728C744B-F48E-4BCB-B147-E4AFC65F700A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140">
            <a:extLst>
              <a:ext uri="{FF2B5EF4-FFF2-40B4-BE49-F238E27FC236}">
                <a16:creationId xmlns:a16="http://schemas.microsoft.com/office/drawing/2014/main" id="{2467518C-BE84-4A1B-A0EE-5D053B3481BF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Connector 141">
            <a:extLst>
              <a:ext uri="{FF2B5EF4-FFF2-40B4-BE49-F238E27FC236}">
                <a16:creationId xmlns:a16="http://schemas.microsoft.com/office/drawing/2014/main" id="{DA9D9325-A801-43A6-BB30-0B0C40688D30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3" name="Straight Connector 142">
            <a:extLst>
              <a:ext uri="{FF2B5EF4-FFF2-40B4-BE49-F238E27FC236}">
                <a16:creationId xmlns:a16="http://schemas.microsoft.com/office/drawing/2014/main" id="{D817108B-5C33-4B1D-A007-6BBACFF9B1CB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F854F61D-B960-4137-ADDE-9B23AB4A9995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144">
            <a:extLst>
              <a:ext uri="{FF2B5EF4-FFF2-40B4-BE49-F238E27FC236}">
                <a16:creationId xmlns:a16="http://schemas.microsoft.com/office/drawing/2014/main" id="{9B31F27C-02BB-4170-878D-B77D5C3E6474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6302E65E-9ACE-47BF-B56B-21A54C01FD9D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50">
            <a:extLst>
              <a:ext uri="{FF2B5EF4-FFF2-40B4-BE49-F238E27FC236}">
                <a16:creationId xmlns:a16="http://schemas.microsoft.com/office/drawing/2014/main" id="{17EC2D06-3D11-4143-B213-9A0915ED8A88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Connector 147">
            <a:extLst>
              <a:ext uri="{FF2B5EF4-FFF2-40B4-BE49-F238E27FC236}">
                <a16:creationId xmlns:a16="http://schemas.microsoft.com/office/drawing/2014/main" id="{9CBA07D0-0E21-4202-BA83-A10E261AD820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Connector 52">
            <a:extLst>
              <a:ext uri="{FF2B5EF4-FFF2-40B4-BE49-F238E27FC236}">
                <a16:creationId xmlns:a16="http://schemas.microsoft.com/office/drawing/2014/main" id="{A1378599-2CC7-4EFC-AF96-DD4F7C038826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Straight Connector 149">
            <a:extLst>
              <a:ext uri="{FF2B5EF4-FFF2-40B4-BE49-F238E27FC236}">
                <a16:creationId xmlns:a16="http://schemas.microsoft.com/office/drawing/2014/main" id="{0D3607A8-871E-4A5B-8D82-E6121E6FA1DB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166F0B55-DF94-4CD4-A86D-263D3409857C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Connector 151">
            <a:extLst>
              <a:ext uri="{FF2B5EF4-FFF2-40B4-BE49-F238E27FC236}">
                <a16:creationId xmlns:a16="http://schemas.microsoft.com/office/drawing/2014/main" id="{E5ABBE26-8929-4C9D-99AD-6402A40E2499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" name="Straight Connector 152">
            <a:extLst>
              <a:ext uri="{FF2B5EF4-FFF2-40B4-BE49-F238E27FC236}">
                <a16:creationId xmlns:a16="http://schemas.microsoft.com/office/drawing/2014/main" id="{948FC064-0283-4242-AB1F-5BA6A20409D3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2A82C516-63FF-4E37-BC7C-7D60C5961ED9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9B5273B3-A9FC-4E02-BFDC-5FF0E9F7E207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" name="Straight Connector 155">
            <a:extLst>
              <a:ext uri="{FF2B5EF4-FFF2-40B4-BE49-F238E27FC236}">
                <a16:creationId xmlns:a16="http://schemas.microsoft.com/office/drawing/2014/main" id="{610C6822-F36C-4086-9E75-D60936884043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7" name="Isosceles Triangle 156">
            <a:extLst>
              <a:ext uri="{FF2B5EF4-FFF2-40B4-BE49-F238E27FC236}">
                <a16:creationId xmlns:a16="http://schemas.microsoft.com/office/drawing/2014/main" id="{E4033C22-3F2E-40DD-839E-E564E48CD385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58" name="Isosceles Triangle 157">
            <a:extLst>
              <a:ext uri="{FF2B5EF4-FFF2-40B4-BE49-F238E27FC236}">
                <a16:creationId xmlns:a16="http://schemas.microsoft.com/office/drawing/2014/main" id="{A17B6CA2-B7E4-484B-961D-60451A02047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59" name="Group 73">
            <a:extLst>
              <a:ext uri="{FF2B5EF4-FFF2-40B4-BE49-F238E27FC236}">
                <a16:creationId xmlns:a16="http://schemas.microsoft.com/office/drawing/2014/main" id="{F34E2CB1-DDA7-4D9E-9FBF-90DE817E5ED9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85" name="TextBox 184">
              <a:extLst>
                <a:ext uri="{FF2B5EF4-FFF2-40B4-BE49-F238E27FC236}">
                  <a16:creationId xmlns:a16="http://schemas.microsoft.com/office/drawing/2014/main" id="{69DF00D0-96DB-4322-98E1-48337680F97B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86" name="Straight Connector 185">
              <a:extLst>
                <a:ext uri="{FF2B5EF4-FFF2-40B4-BE49-F238E27FC236}">
                  <a16:creationId xmlns:a16="http://schemas.microsoft.com/office/drawing/2014/main" id="{0030C649-8FC8-4581-8C23-A15AB52A8418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0" name="Group 74">
            <a:extLst>
              <a:ext uri="{FF2B5EF4-FFF2-40B4-BE49-F238E27FC236}">
                <a16:creationId xmlns:a16="http://schemas.microsoft.com/office/drawing/2014/main" id="{BC56B58B-304B-4F01-A8BC-602053B22DD0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83" name="TextBox 182">
              <a:extLst>
                <a:ext uri="{FF2B5EF4-FFF2-40B4-BE49-F238E27FC236}">
                  <a16:creationId xmlns:a16="http://schemas.microsoft.com/office/drawing/2014/main" id="{C2E72D68-CC5A-43DD-9A3B-4EF804453E02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84" name="Straight Connector 183">
              <a:extLst>
                <a:ext uri="{FF2B5EF4-FFF2-40B4-BE49-F238E27FC236}">
                  <a16:creationId xmlns:a16="http://schemas.microsoft.com/office/drawing/2014/main" id="{EB9674B9-AD53-4BC7-95ED-CF335F21ECE9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1" name="Group 89">
            <a:extLst>
              <a:ext uri="{FF2B5EF4-FFF2-40B4-BE49-F238E27FC236}">
                <a16:creationId xmlns:a16="http://schemas.microsoft.com/office/drawing/2014/main" id="{89B24793-2F73-4404-82E0-FBD94E64D8EF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79" name="Straight Connector 178">
              <a:extLst>
                <a:ext uri="{FF2B5EF4-FFF2-40B4-BE49-F238E27FC236}">
                  <a16:creationId xmlns:a16="http://schemas.microsoft.com/office/drawing/2014/main" id="{9F3ABF18-E81B-435F-A861-7B8E29A6CEE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0" name="Straight Connector 79">
              <a:extLst>
                <a:ext uri="{FF2B5EF4-FFF2-40B4-BE49-F238E27FC236}">
                  <a16:creationId xmlns:a16="http://schemas.microsoft.com/office/drawing/2014/main" id="{E01FC15D-D3E7-420A-8A44-1D44F332C9BD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1" name="Straight Connector 80">
              <a:extLst>
                <a:ext uri="{FF2B5EF4-FFF2-40B4-BE49-F238E27FC236}">
                  <a16:creationId xmlns:a16="http://schemas.microsoft.com/office/drawing/2014/main" id="{C8524247-49F9-4C93-BB42-300D51C4DA7C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2" name="Straight Connector 88">
              <a:extLst>
                <a:ext uri="{FF2B5EF4-FFF2-40B4-BE49-F238E27FC236}">
                  <a16:creationId xmlns:a16="http://schemas.microsoft.com/office/drawing/2014/main" id="{F64AB99B-647D-452F-8ABC-F1D8A20AAD5C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2" name="Group 90">
            <a:extLst>
              <a:ext uri="{FF2B5EF4-FFF2-40B4-BE49-F238E27FC236}">
                <a16:creationId xmlns:a16="http://schemas.microsoft.com/office/drawing/2014/main" id="{BEEDC45C-1AF9-4661-A8DF-88562FDFA54D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75" name="Straight Connector 174">
              <a:extLst>
                <a:ext uri="{FF2B5EF4-FFF2-40B4-BE49-F238E27FC236}">
                  <a16:creationId xmlns:a16="http://schemas.microsoft.com/office/drawing/2014/main" id="{6354A39A-6B36-499F-ACE8-B375DCBC2487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6" name="Straight Connector 175">
              <a:extLst>
                <a:ext uri="{FF2B5EF4-FFF2-40B4-BE49-F238E27FC236}">
                  <a16:creationId xmlns:a16="http://schemas.microsoft.com/office/drawing/2014/main" id="{93A935C9-A72F-4595-A71C-A6D1404DC408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7" name="Straight Connector 176">
              <a:extLst>
                <a:ext uri="{FF2B5EF4-FFF2-40B4-BE49-F238E27FC236}">
                  <a16:creationId xmlns:a16="http://schemas.microsoft.com/office/drawing/2014/main" id="{2363C326-01BA-46AF-AE25-F2FA7E5E9BE2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8" name="Straight Connector 177">
              <a:extLst>
                <a:ext uri="{FF2B5EF4-FFF2-40B4-BE49-F238E27FC236}">
                  <a16:creationId xmlns:a16="http://schemas.microsoft.com/office/drawing/2014/main" id="{3787295C-D691-486F-9DE1-DD7706C7337A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63" name="Straight Connector 162">
            <a:extLst>
              <a:ext uri="{FF2B5EF4-FFF2-40B4-BE49-F238E27FC236}">
                <a16:creationId xmlns:a16="http://schemas.microsoft.com/office/drawing/2014/main" id="{159C1259-84FE-4CA5-BE4F-82C1DF99C73C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EC9D32EC-3133-4EC7-93C3-899095342127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" name="Straight Arrow Connector 164">
            <a:extLst>
              <a:ext uri="{FF2B5EF4-FFF2-40B4-BE49-F238E27FC236}">
                <a16:creationId xmlns:a16="http://schemas.microsoft.com/office/drawing/2014/main" id="{D42E6A92-E02B-4BBF-B492-E619FC28BF41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6" name="Straight Arrow Connector 165">
            <a:extLst>
              <a:ext uri="{FF2B5EF4-FFF2-40B4-BE49-F238E27FC236}">
                <a16:creationId xmlns:a16="http://schemas.microsoft.com/office/drawing/2014/main" id="{4CF0C972-CF48-42C2-BD85-C4E43B670364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67" name="Group 155">
            <a:extLst>
              <a:ext uri="{FF2B5EF4-FFF2-40B4-BE49-F238E27FC236}">
                <a16:creationId xmlns:a16="http://schemas.microsoft.com/office/drawing/2014/main" id="{768108EF-083D-442F-AEDF-772DB88AD25D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72" name="Isosceles Triangle 171">
              <a:extLst>
                <a:ext uri="{FF2B5EF4-FFF2-40B4-BE49-F238E27FC236}">
                  <a16:creationId xmlns:a16="http://schemas.microsoft.com/office/drawing/2014/main" id="{4CC685D9-FF2C-4026-8A28-EB1D8E3DC56C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73" name="Isosceles Triangle 172">
              <a:extLst>
                <a:ext uri="{FF2B5EF4-FFF2-40B4-BE49-F238E27FC236}">
                  <a16:creationId xmlns:a16="http://schemas.microsoft.com/office/drawing/2014/main" id="{B24CF195-46CC-408B-ABC9-B33898B23D63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74" name="Isosceles Triangle 173">
              <a:extLst>
                <a:ext uri="{FF2B5EF4-FFF2-40B4-BE49-F238E27FC236}">
                  <a16:creationId xmlns:a16="http://schemas.microsoft.com/office/drawing/2014/main" id="{FA1A4C52-6671-4036-8CD8-910D427B02AE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68" name="Group 134">
            <a:extLst>
              <a:ext uri="{FF2B5EF4-FFF2-40B4-BE49-F238E27FC236}">
                <a16:creationId xmlns:a16="http://schemas.microsoft.com/office/drawing/2014/main" id="{F9745F95-DD3A-4728-85F9-F55D8BD46A2A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69" name="Isosceles Triangle 168">
              <a:extLst>
                <a:ext uri="{FF2B5EF4-FFF2-40B4-BE49-F238E27FC236}">
                  <a16:creationId xmlns:a16="http://schemas.microsoft.com/office/drawing/2014/main" id="{E74B8469-0BEE-4B9C-8ED4-6A1BD19A0B79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70" name="Isosceles Triangle 169">
              <a:extLst>
                <a:ext uri="{FF2B5EF4-FFF2-40B4-BE49-F238E27FC236}">
                  <a16:creationId xmlns:a16="http://schemas.microsoft.com/office/drawing/2014/main" id="{A87E6555-21A5-4BA9-80F7-910B4BC51D85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71" name="Isosceles Triangle 170">
              <a:extLst>
                <a:ext uri="{FF2B5EF4-FFF2-40B4-BE49-F238E27FC236}">
                  <a16:creationId xmlns:a16="http://schemas.microsoft.com/office/drawing/2014/main" id="{A557F8A8-6C36-4616-A6E5-9A8207897F4A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11</xdr:col>
      <xdr:colOff>82385</xdr:colOff>
      <xdr:row>14</xdr:row>
      <xdr:rowOff>79457</xdr:rowOff>
    </xdr:from>
    <xdr:to>
      <xdr:col>11</xdr:col>
      <xdr:colOff>237476</xdr:colOff>
      <xdr:row>15</xdr:row>
      <xdr:rowOff>81728</xdr:rowOff>
    </xdr:to>
    <xdr:cxnSp macro="">
      <xdr:nvCxnSpPr>
        <xdr:cNvPr id="193" name="Straight Connector 192">
          <a:extLst>
            <a:ext uri="{FF2B5EF4-FFF2-40B4-BE49-F238E27FC236}">
              <a16:creationId xmlns:a16="http://schemas.microsoft.com/office/drawing/2014/main" id="{DDCDE8D5-6E0F-44DD-B4CF-B6B3E3728F6F}"/>
            </a:ext>
          </a:extLst>
        </xdr:cNvPr>
        <xdr:cNvCxnSpPr>
          <a:cxnSpLocks/>
          <a:stCxn id="219" idx="1"/>
          <a:endCxn id="240" idx="0"/>
        </xdr:cNvCxnSpPr>
      </xdr:nvCxnSpPr>
      <xdr:spPr>
        <a:xfrm flipH="1" flipV="1">
          <a:off x="3821628" y="2245714"/>
          <a:ext cx="155091" cy="154671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235578</xdr:colOff>
      <xdr:row>29</xdr:row>
      <xdr:rowOff>136968</xdr:rowOff>
    </xdr:from>
    <xdr:to>
      <xdr:col>12</xdr:col>
      <xdr:colOff>181984</xdr:colOff>
      <xdr:row>31</xdr:row>
      <xdr:rowOff>113328</xdr:rowOff>
    </xdr:to>
    <xdr:cxnSp macro="">
      <xdr:nvCxnSpPr>
        <xdr:cNvPr id="194" name="Straight Connector 193">
          <a:extLst>
            <a:ext uri="{FF2B5EF4-FFF2-40B4-BE49-F238E27FC236}">
              <a16:creationId xmlns:a16="http://schemas.microsoft.com/office/drawing/2014/main" id="{D77B64AF-B90B-4DD6-A775-1618BF2906A7}"/>
            </a:ext>
          </a:extLst>
        </xdr:cNvPr>
        <xdr:cNvCxnSpPr/>
      </xdr:nvCxnSpPr>
      <xdr:spPr>
        <a:xfrm flipH="1">
          <a:off x="2073343" y="4686556"/>
          <a:ext cx="2232406" cy="278919"/>
        </a:xfrm>
        <a:prstGeom prst="line">
          <a:avLst/>
        </a:prstGeom>
        <a:ln w="1270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245832</xdr:colOff>
      <xdr:row>9</xdr:row>
      <xdr:rowOff>129219</xdr:rowOff>
    </xdr:from>
    <xdr:to>
      <xdr:col>11</xdr:col>
      <xdr:colOff>245832</xdr:colOff>
      <xdr:row>33</xdr:row>
      <xdr:rowOff>111899</xdr:rowOff>
    </xdr:to>
    <xdr:cxnSp macro="">
      <xdr:nvCxnSpPr>
        <xdr:cNvPr id="195" name="Straight Connector 194">
          <a:extLst>
            <a:ext uri="{FF2B5EF4-FFF2-40B4-BE49-F238E27FC236}">
              <a16:creationId xmlns:a16="http://schemas.microsoft.com/office/drawing/2014/main" id="{C15A4883-036F-469D-9EB5-54BF20E2E5D2}"/>
            </a:ext>
          </a:extLst>
        </xdr:cNvPr>
        <xdr:cNvCxnSpPr/>
      </xdr:nvCxnSpPr>
      <xdr:spPr>
        <a:xfrm flipV="1">
          <a:off x="3985075" y="1522590"/>
          <a:ext cx="0" cy="3640280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123369</xdr:colOff>
      <xdr:row>10</xdr:row>
      <xdr:rowOff>7060</xdr:rowOff>
    </xdr:from>
    <xdr:to>
      <xdr:col>12</xdr:col>
      <xdr:colOff>138248</xdr:colOff>
      <xdr:row>33</xdr:row>
      <xdr:rowOff>111481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CD70414F-030C-4295-9412-8F1C31BDA75A}"/>
            </a:ext>
          </a:extLst>
        </xdr:cNvPr>
        <xdr:cNvCxnSpPr/>
      </xdr:nvCxnSpPr>
      <xdr:spPr>
        <a:xfrm flipH="1">
          <a:off x="4247134" y="1575884"/>
          <a:ext cx="14879" cy="3701509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67057</xdr:colOff>
      <xdr:row>29</xdr:row>
      <xdr:rowOff>9530</xdr:rowOff>
    </xdr:from>
    <xdr:to>
      <xdr:col>10</xdr:col>
      <xdr:colOff>131430</xdr:colOff>
      <xdr:row>31</xdr:row>
      <xdr:rowOff>73805</xdr:rowOff>
    </xdr:to>
    <xdr:sp macro="" textlink="">
      <xdr:nvSpPr>
        <xdr:cNvPr id="200" name="Arc 199">
          <a:extLst>
            <a:ext uri="{FF2B5EF4-FFF2-40B4-BE49-F238E27FC236}">
              <a16:creationId xmlns:a16="http://schemas.microsoft.com/office/drawing/2014/main" id="{CF12B4BC-2E0B-4BA3-865E-C8F421B65D63}"/>
            </a:ext>
          </a:extLst>
        </xdr:cNvPr>
        <xdr:cNvSpPr/>
      </xdr:nvSpPr>
      <xdr:spPr>
        <a:xfrm rot="21512589">
          <a:off x="3047822" y="4559118"/>
          <a:ext cx="445373" cy="366834"/>
        </a:xfrm>
        <a:prstGeom prst="arc">
          <a:avLst>
            <a:gd name="adj1" fmla="val 16200000"/>
            <a:gd name="adj2" fmla="val 17467"/>
          </a:avLst>
        </a:prstGeom>
        <a:ln w="1270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 u="sng"/>
        </a:p>
      </xdr:txBody>
    </xdr:sp>
    <xdr:clientData/>
  </xdr:twoCellAnchor>
  <xdr:twoCellAnchor>
    <xdr:from>
      <xdr:col>6</xdr:col>
      <xdr:colOff>56029</xdr:colOff>
      <xdr:row>27</xdr:row>
      <xdr:rowOff>65244</xdr:rowOff>
    </xdr:from>
    <xdr:to>
      <xdr:col>9</xdr:col>
      <xdr:colOff>245800</xdr:colOff>
      <xdr:row>31</xdr:row>
      <xdr:rowOff>103089</xdr:rowOff>
    </xdr:to>
    <xdr:cxnSp macro="">
      <xdr:nvCxnSpPr>
        <xdr:cNvPr id="201" name="Straight Connector 200">
          <a:extLst>
            <a:ext uri="{FF2B5EF4-FFF2-40B4-BE49-F238E27FC236}">
              <a16:creationId xmlns:a16="http://schemas.microsoft.com/office/drawing/2014/main" id="{26BCE26B-4CEF-4FD1-8C8B-D1055C304C1D}"/>
            </a:ext>
          </a:extLst>
        </xdr:cNvPr>
        <xdr:cNvCxnSpPr/>
      </xdr:nvCxnSpPr>
      <xdr:spPr>
        <a:xfrm rot="1226917" flipH="1">
          <a:off x="1893794" y="4301068"/>
          <a:ext cx="1332771" cy="654168"/>
        </a:xfrm>
        <a:prstGeom prst="line">
          <a:avLst/>
        </a:prstGeom>
        <a:ln w="1270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1782</xdr:colOff>
      <xdr:row>13</xdr:row>
      <xdr:rowOff>44876</xdr:rowOff>
    </xdr:from>
    <xdr:to>
      <xdr:col>13</xdr:col>
      <xdr:colOff>210359</xdr:colOff>
      <xdr:row>17</xdr:row>
      <xdr:rowOff>124811</xdr:rowOff>
    </xdr:to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EA6319A8-F4CC-4A9C-989D-50732BA5FD9E}"/>
            </a:ext>
          </a:extLst>
        </xdr:cNvPr>
        <xdr:cNvSpPr txBox="1"/>
      </xdr:nvSpPr>
      <xdr:spPr>
        <a:xfrm>
          <a:off x="4120523" y="2048410"/>
          <a:ext cx="589577" cy="68428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SYG05-32</a:t>
          </a:r>
        </a:p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DAN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</a:p>
      </xdr:txBody>
    </xdr:sp>
    <xdr:clientData/>
  </xdr:twoCellAnchor>
  <xdr:twoCellAnchor>
    <xdr:from>
      <xdr:col>8</xdr:col>
      <xdr:colOff>27148</xdr:colOff>
      <xdr:row>31</xdr:row>
      <xdr:rowOff>143244</xdr:rowOff>
    </xdr:from>
    <xdr:to>
      <xdr:col>9</xdr:col>
      <xdr:colOff>284660</xdr:colOff>
      <xdr:row>35</xdr:row>
      <xdr:rowOff>102576</xdr:rowOff>
    </xdr:to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88EF708C-B88F-429A-8EC2-A41A92EF7070}"/>
            </a:ext>
          </a:extLst>
        </xdr:cNvPr>
        <xdr:cNvSpPr txBox="1"/>
      </xdr:nvSpPr>
      <xdr:spPr>
        <a:xfrm>
          <a:off x="2620879" y="4927725"/>
          <a:ext cx="638512" cy="57479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C9-350 DAN</a:t>
          </a: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CG313</a:t>
          </a: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CA5</a:t>
          </a: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9</xdr:col>
      <xdr:colOff>276497</xdr:colOff>
      <xdr:row>18</xdr:row>
      <xdr:rowOff>3913</xdr:rowOff>
    </xdr:from>
    <xdr:to>
      <xdr:col>11</xdr:col>
      <xdr:colOff>76744</xdr:colOff>
      <xdr:row>21</xdr:row>
      <xdr:rowOff>65943</xdr:rowOff>
    </xdr:to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64C76258-D93E-47C8-A98B-42335C5C844D}"/>
            </a:ext>
          </a:extLst>
        </xdr:cNvPr>
        <xdr:cNvSpPr txBox="1"/>
      </xdr:nvSpPr>
      <xdr:spPr>
        <a:xfrm>
          <a:off x="3251228" y="2795471"/>
          <a:ext cx="562247" cy="523626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DAN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11</xdr:col>
      <xdr:colOff>238878</xdr:colOff>
      <xdr:row>26</xdr:row>
      <xdr:rowOff>95685</xdr:rowOff>
    </xdr:from>
    <xdr:to>
      <xdr:col>11</xdr:col>
      <xdr:colOff>349396</xdr:colOff>
      <xdr:row>27</xdr:row>
      <xdr:rowOff>50672</xdr:rowOff>
    </xdr:to>
    <xdr:grpSp>
      <xdr:nvGrpSpPr>
        <xdr:cNvPr id="206" name="Group 205">
          <a:extLst>
            <a:ext uri="{FF2B5EF4-FFF2-40B4-BE49-F238E27FC236}">
              <a16:creationId xmlns:a16="http://schemas.microsoft.com/office/drawing/2014/main" id="{AD2D6225-7422-41B4-BAE3-79DFD5BA7492}"/>
            </a:ext>
          </a:extLst>
        </xdr:cNvPr>
        <xdr:cNvGrpSpPr/>
      </xdr:nvGrpSpPr>
      <xdr:grpSpPr>
        <a:xfrm>
          <a:off x="3967235" y="4028149"/>
          <a:ext cx="110518" cy="10466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07" name="Oval 206">
            <a:extLst>
              <a:ext uri="{FF2B5EF4-FFF2-40B4-BE49-F238E27FC236}">
                <a16:creationId xmlns:a16="http://schemas.microsoft.com/office/drawing/2014/main" id="{352CDD8F-18A0-430A-82EB-D7A0C9B36F2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8" name="Straight Connector 207">
            <a:extLst>
              <a:ext uri="{FF2B5EF4-FFF2-40B4-BE49-F238E27FC236}">
                <a16:creationId xmlns:a16="http://schemas.microsoft.com/office/drawing/2014/main" id="{F78DFC67-7935-4A1C-8507-8F42000D8FC3}"/>
              </a:ext>
            </a:extLst>
          </xdr:cNvPr>
          <xdr:cNvCxnSpPr>
            <a:stCxn id="207" idx="1"/>
            <a:endCxn id="20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9" name="Straight Connector 208">
            <a:extLst>
              <a:ext uri="{FF2B5EF4-FFF2-40B4-BE49-F238E27FC236}">
                <a16:creationId xmlns:a16="http://schemas.microsoft.com/office/drawing/2014/main" id="{5024AE6E-DAF1-436C-BCD0-044073074F6D}"/>
              </a:ext>
            </a:extLst>
          </xdr:cNvPr>
          <xdr:cNvCxnSpPr>
            <a:stCxn id="207" idx="3"/>
            <a:endCxn id="20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238878</xdr:colOff>
      <xdr:row>22</xdr:row>
      <xdr:rowOff>55015</xdr:rowOff>
    </xdr:from>
    <xdr:to>
      <xdr:col>11</xdr:col>
      <xdr:colOff>349396</xdr:colOff>
      <xdr:row>23</xdr:row>
      <xdr:rowOff>16614</xdr:rowOff>
    </xdr:to>
    <xdr:grpSp>
      <xdr:nvGrpSpPr>
        <xdr:cNvPr id="210" name="Group 209">
          <a:extLst>
            <a:ext uri="{FF2B5EF4-FFF2-40B4-BE49-F238E27FC236}">
              <a16:creationId xmlns:a16="http://schemas.microsoft.com/office/drawing/2014/main" id="{135E77CA-D697-4D09-B4BC-66C12CFAB4D3}"/>
            </a:ext>
          </a:extLst>
        </xdr:cNvPr>
        <xdr:cNvGrpSpPr/>
      </xdr:nvGrpSpPr>
      <xdr:grpSpPr>
        <a:xfrm>
          <a:off x="3967235" y="3388765"/>
          <a:ext cx="110518" cy="11127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11" name="Oval 210">
            <a:extLst>
              <a:ext uri="{FF2B5EF4-FFF2-40B4-BE49-F238E27FC236}">
                <a16:creationId xmlns:a16="http://schemas.microsoft.com/office/drawing/2014/main" id="{7F5584FF-41B5-46B0-B6C7-8E9727C412E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2" name="Straight Connector 211">
            <a:extLst>
              <a:ext uri="{FF2B5EF4-FFF2-40B4-BE49-F238E27FC236}">
                <a16:creationId xmlns:a16="http://schemas.microsoft.com/office/drawing/2014/main" id="{AAF6AEA6-0FDD-4E7E-A255-323DE2C42ADC}"/>
              </a:ext>
            </a:extLst>
          </xdr:cNvPr>
          <xdr:cNvCxnSpPr>
            <a:stCxn id="211" idx="1"/>
            <a:endCxn id="21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3" name="Straight Connector 212">
            <a:extLst>
              <a:ext uri="{FF2B5EF4-FFF2-40B4-BE49-F238E27FC236}">
                <a16:creationId xmlns:a16="http://schemas.microsoft.com/office/drawing/2014/main" id="{121A32D0-A501-4091-A0AC-4F30D97E8297}"/>
              </a:ext>
            </a:extLst>
          </xdr:cNvPr>
          <xdr:cNvCxnSpPr>
            <a:stCxn id="211" idx="3"/>
            <a:endCxn id="21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227153</xdr:colOff>
      <xdr:row>18</xdr:row>
      <xdr:rowOff>138950</xdr:rowOff>
    </xdr:from>
    <xdr:to>
      <xdr:col>11</xdr:col>
      <xdr:colOff>337671</xdr:colOff>
      <xdr:row>19</xdr:row>
      <xdr:rowOff>93937</xdr:rowOff>
    </xdr:to>
    <xdr:grpSp>
      <xdr:nvGrpSpPr>
        <xdr:cNvPr id="214" name="Group 213">
          <a:extLst>
            <a:ext uri="{FF2B5EF4-FFF2-40B4-BE49-F238E27FC236}">
              <a16:creationId xmlns:a16="http://schemas.microsoft.com/office/drawing/2014/main" id="{E1195F7C-64CD-4976-9350-F9C721262BA7}"/>
            </a:ext>
          </a:extLst>
        </xdr:cNvPr>
        <xdr:cNvGrpSpPr/>
      </xdr:nvGrpSpPr>
      <xdr:grpSpPr>
        <a:xfrm>
          <a:off x="3955510" y="2873986"/>
          <a:ext cx="110518" cy="10466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15" name="Oval 214">
            <a:extLst>
              <a:ext uri="{FF2B5EF4-FFF2-40B4-BE49-F238E27FC236}">
                <a16:creationId xmlns:a16="http://schemas.microsoft.com/office/drawing/2014/main" id="{89BC831D-B542-4D26-88C3-BF35890F243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6" name="Straight Connector 215">
            <a:extLst>
              <a:ext uri="{FF2B5EF4-FFF2-40B4-BE49-F238E27FC236}">
                <a16:creationId xmlns:a16="http://schemas.microsoft.com/office/drawing/2014/main" id="{42F463AF-788A-403E-BC09-8501D1361761}"/>
              </a:ext>
            </a:extLst>
          </xdr:cNvPr>
          <xdr:cNvCxnSpPr>
            <a:stCxn id="215" idx="1"/>
            <a:endCxn id="21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216">
            <a:extLst>
              <a:ext uri="{FF2B5EF4-FFF2-40B4-BE49-F238E27FC236}">
                <a16:creationId xmlns:a16="http://schemas.microsoft.com/office/drawing/2014/main" id="{AD1DE3C2-08D2-4578-AAC9-75DD3B3E7AEB}"/>
              </a:ext>
            </a:extLst>
          </xdr:cNvPr>
          <xdr:cNvCxnSpPr>
            <a:stCxn id="215" idx="3"/>
            <a:endCxn id="21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221291</xdr:colOff>
      <xdr:row>15</xdr:row>
      <xdr:rowOff>66002</xdr:rowOff>
    </xdr:from>
    <xdr:to>
      <xdr:col>11</xdr:col>
      <xdr:colOff>331809</xdr:colOff>
      <xdr:row>16</xdr:row>
      <xdr:rowOff>20989</xdr:rowOff>
    </xdr:to>
    <xdr:grpSp>
      <xdr:nvGrpSpPr>
        <xdr:cNvPr id="218" name="Group 217">
          <a:extLst>
            <a:ext uri="{FF2B5EF4-FFF2-40B4-BE49-F238E27FC236}">
              <a16:creationId xmlns:a16="http://schemas.microsoft.com/office/drawing/2014/main" id="{6F6BED5B-518E-407C-8C24-79A5031CDC82}"/>
            </a:ext>
          </a:extLst>
        </xdr:cNvPr>
        <xdr:cNvGrpSpPr/>
      </xdr:nvGrpSpPr>
      <xdr:grpSpPr>
        <a:xfrm>
          <a:off x="3949648" y="2352002"/>
          <a:ext cx="110518" cy="10466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19" name="Oval 218">
            <a:extLst>
              <a:ext uri="{FF2B5EF4-FFF2-40B4-BE49-F238E27FC236}">
                <a16:creationId xmlns:a16="http://schemas.microsoft.com/office/drawing/2014/main" id="{45B78114-24DD-4D87-9AAF-84C1B48E171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0" name="Straight Connector 219">
            <a:extLst>
              <a:ext uri="{FF2B5EF4-FFF2-40B4-BE49-F238E27FC236}">
                <a16:creationId xmlns:a16="http://schemas.microsoft.com/office/drawing/2014/main" id="{87F30B01-F81D-4A21-BA09-D74D2D823CE9}"/>
              </a:ext>
            </a:extLst>
          </xdr:cNvPr>
          <xdr:cNvCxnSpPr>
            <a:stCxn id="219" idx="1"/>
            <a:endCxn id="21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1" name="Straight Connector 220">
            <a:extLst>
              <a:ext uri="{FF2B5EF4-FFF2-40B4-BE49-F238E27FC236}">
                <a16:creationId xmlns:a16="http://schemas.microsoft.com/office/drawing/2014/main" id="{8A9CAA1E-02F0-4FE2-8247-6ED268499380}"/>
              </a:ext>
            </a:extLst>
          </xdr:cNvPr>
          <xdr:cNvCxnSpPr>
            <a:stCxn id="219" idx="3"/>
            <a:endCxn id="21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221291</xdr:colOff>
      <xdr:row>10</xdr:row>
      <xdr:rowOff>100901</xdr:rowOff>
    </xdr:from>
    <xdr:to>
      <xdr:col>11</xdr:col>
      <xdr:colOff>331809</xdr:colOff>
      <xdr:row>11</xdr:row>
      <xdr:rowOff>55889</xdr:rowOff>
    </xdr:to>
    <xdr:grpSp>
      <xdr:nvGrpSpPr>
        <xdr:cNvPr id="222" name="Group 221">
          <a:extLst>
            <a:ext uri="{FF2B5EF4-FFF2-40B4-BE49-F238E27FC236}">
              <a16:creationId xmlns:a16="http://schemas.microsoft.com/office/drawing/2014/main" id="{5D3A91C0-70CB-4133-B7EF-6D9A17141959}"/>
            </a:ext>
          </a:extLst>
        </xdr:cNvPr>
        <xdr:cNvGrpSpPr/>
      </xdr:nvGrpSpPr>
      <xdr:grpSpPr>
        <a:xfrm>
          <a:off x="3949648" y="1624901"/>
          <a:ext cx="110518" cy="10466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23" name="Oval 222">
            <a:extLst>
              <a:ext uri="{FF2B5EF4-FFF2-40B4-BE49-F238E27FC236}">
                <a16:creationId xmlns:a16="http://schemas.microsoft.com/office/drawing/2014/main" id="{C6CD76F6-783D-4BE9-B0D4-6C975B9EA31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4" name="Straight Connector 223">
            <a:extLst>
              <a:ext uri="{FF2B5EF4-FFF2-40B4-BE49-F238E27FC236}">
                <a16:creationId xmlns:a16="http://schemas.microsoft.com/office/drawing/2014/main" id="{ABF31E22-B418-4521-B984-A5064DAC7FC9}"/>
              </a:ext>
            </a:extLst>
          </xdr:cNvPr>
          <xdr:cNvCxnSpPr>
            <a:stCxn id="223" idx="1"/>
            <a:endCxn id="22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Straight Connector 224">
            <a:extLst>
              <a:ext uri="{FF2B5EF4-FFF2-40B4-BE49-F238E27FC236}">
                <a16:creationId xmlns:a16="http://schemas.microsoft.com/office/drawing/2014/main" id="{90E0C338-171F-4949-B69E-DAE756D1C269}"/>
              </a:ext>
            </a:extLst>
          </xdr:cNvPr>
          <xdr:cNvCxnSpPr>
            <a:stCxn id="223" idx="3"/>
            <a:endCxn id="22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198931</xdr:colOff>
      <xdr:row>31</xdr:row>
      <xdr:rowOff>68821</xdr:rowOff>
    </xdr:from>
    <xdr:to>
      <xdr:col>10</xdr:col>
      <xdr:colOff>310119</xdr:colOff>
      <xdr:row>32</xdr:row>
      <xdr:rowOff>23809</xdr:rowOff>
    </xdr:to>
    <xdr:grpSp>
      <xdr:nvGrpSpPr>
        <xdr:cNvPr id="226" name="Group 225">
          <a:extLst>
            <a:ext uri="{FF2B5EF4-FFF2-40B4-BE49-F238E27FC236}">
              <a16:creationId xmlns:a16="http://schemas.microsoft.com/office/drawing/2014/main" id="{18DB6730-E86C-4E7F-B2C9-F12F5B6BAA1F}"/>
            </a:ext>
          </a:extLst>
        </xdr:cNvPr>
        <xdr:cNvGrpSpPr/>
      </xdr:nvGrpSpPr>
      <xdr:grpSpPr>
        <a:xfrm>
          <a:off x="3546288" y="4749678"/>
          <a:ext cx="111188" cy="10466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27" name="Oval 226">
            <a:extLst>
              <a:ext uri="{FF2B5EF4-FFF2-40B4-BE49-F238E27FC236}">
                <a16:creationId xmlns:a16="http://schemas.microsoft.com/office/drawing/2014/main" id="{AF5C5C7B-8885-4C49-A39A-C0460273E26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8" name="Straight Connector 227">
            <a:extLst>
              <a:ext uri="{FF2B5EF4-FFF2-40B4-BE49-F238E27FC236}">
                <a16:creationId xmlns:a16="http://schemas.microsoft.com/office/drawing/2014/main" id="{4249834D-92E9-407B-8E4E-F3B2B5422380}"/>
              </a:ext>
            </a:extLst>
          </xdr:cNvPr>
          <xdr:cNvCxnSpPr>
            <a:stCxn id="227" idx="1"/>
            <a:endCxn id="22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9" name="Straight Connector 228">
            <a:extLst>
              <a:ext uri="{FF2B5EF4-FFF2-40B4-BE49-F238E27FC236}">
                <a16:creationId xmlns:a16="http://schemas.microsoft.com/office/drawing/2014/main" id="{F49952DD-018E-489D-A8BF-1E8EF149DC0F}"/>
              </a:ext>
            </a:extLst>
          </xdr:cNvPr>
          <xdr:cNvCxnSpPr>
            <a:stCxn id="227" idx="3"/>
            <a:endCxn id="22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291069</xdr:colOff>
      <xdr:row>31</xdr:row>
      <xdr:rowOff>56046</xdr:rowOff>
    </xdr:from>
    <xdr:to>
      <xdr:col>11</xdr:col>
      <xdr:colOff>249201</xdr:colOff>
      <xdr:row>31</xdr:row>
      <xdr:rowOff>93076</xdr:rowOff>
    </xdr:to>
    <xdr:cxnSp macro="">
      <xdr:nvCxnSpPr>
        <xdr:cNvPr id="230" name="Straight Connector 229">
          <a:extLst>
            <a:ext uri="{FF2B5EF4-FFF2-40B4-BE49-F238E27FC236}">
              <a16:creationId xmlns:a16="http://schemas.microsoft.com/office/drawing/2014/main" id="{04340386-B73A-4176-8ACF-460E314D4F9B}"/>
            </a:ext>
          </a:extLst>
        </xdr:cNvPr>
        <xdr:cNvCxnSpPr>
          <a:endCxn id="248" idx="1"/>
        </xdr:cNvCxnSpPr>
      </xdr:nvCxnSpPr>
      <xdr:spPr>
        <a:xfrm flipV="1">
          <a:off x="3652834" y="4908193"/>
          <a:ext cx="339132" cy="37030"/>
        </a:xfrm>
        <a:prstGeom prst="line">
          <a:avLst/>
        </a:prstGeom>
        <a:ln w="12700">
          <a:solidFill>
            <a:schemeClr val="tx1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25803</xdr:colOff>
      <xdr:row>32</xdr:row>
      <xdr:rowOff>49064</xdr:rowOff>
    </xdr:from>
    <xdr:to>
      <xdr:col>10</xdr:col>
      <xdr:colOff>175575</xdr:colOff>
      <xdr:row>33</xdr:row>
      <xdr:rowOff>29511</xdr:rowOff>
    </xdr:to>
    <xdr:sp macro="" textlink="">
      <xdr:nvSpPr>
        <xdr:cNvPr id="231" name="Isosceles Triangle 230">
          <a:extLst>
            <a:ext uri="{FF2B5EF4-FFF2-40B4-BE49-F238E27FC236}">
              <a16:creationId xmlns:a16="http://schemas.microsoft.com/office/drawing/2014/main" id="{294AFACB-1010-4677-B7F5-40CB4402DE9F}"/>
            </a:ext>
          </a:extLst>
        </xdr:cNvPr>
        <xdr:cNvSpPr/>
      </xdr:nvSpPr>
      <xdr:spPr>
        <a:xfrm>
          <a:off x="3387568" y="5058093"/>
          <a:ext cx="149772" cy="13733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106402</xdr:colOff>
      <xdr:row>11</xdr:row>
      <xdr:rowOff>12134</xdr:rowOff>
    </xdr:from>
    <xdr:to>
      <xdr:col>11</xdr:col>
      <xdr:colOff>356818</xdr:colOff>
      <xdr:row>13</xdr:row>
      <xdr:rowOff>102024</xdr:rowOff>
    </xdr:to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15F55F29-2BE4-4AE9-8909-66BA2D9AE30A}"/>
            </a:ext>
          </a:extLst>
        </xdr:cNvPr>
        <xdr:cNvSpPr txBox="1"/>
      </xdr:nvSpPr>
      <xdr:spPr>
        <a:xfrm rot="16200000">
          <a:off x="3772547" y="1814460"/>
          <a:ext cx="403655" cy="2504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10</xdr:col>
      <xdr:colOff>15702</xdr:colOff>
      <xdr:row>25</xdr:row>
      <xdr:rowOff>116064</xdr:rowOff>
    </xdr:from>
    <xdr:to>
      <xdr:col>11</xdr:col>
      <xdr:colOff>193955</xdr:colOff>
      <xdr:row>28</xdr:row>
      <xdr:rowOff>139210</xdr:rowOff>
    </xdr:to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0BE8C2DA-40E8-4736-841E-9F685CA8547E}"/>
            </a:ext>
          </a:extLst>
        </xdr:cNvPr>
        <xdr:cNvSpPr txBox="1"/>
      </xdr:nvSpPr>
      <xdr:spPr>
        <a:xfrm>
          <a:off x="3371433" y="3984679"/>
          <a:ext cx="559253" cy="48474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DAN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12</xdr:col>
      <xdr:colOff>16227</xdr:colOff>
      <xdr:row>8</xdr:row>
      <xdr:rowOff>139212</xdr:rowOff>
    </xdr:from>
    <xdr:to>
      <xdr:col>13</xdr:col>
      <xdr:colOff>197887</xdr:colOff>
      <xdr:row>11</xdr:row>
      <xdr:rowOff>118516</xdr:rowOff>
    </xdr:to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6B67F536-7096-49D5-B71E-06A5B77EBEE2}"/>
            </a:ext>
          </a:extLst>
        </xdr:cNvPr>
        <xdr:cNvSpPr txBox="1"/>
      </xdr:nvSpPr>
      <xdr:spPr>
        <a:xfrm>
          <a:off x="4133958" y="1384789"/>
          <a:ext cx="562660" cy="4409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DAN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CM2-12</a:t>
          </a:r>
        </a:p>
      </xdr:txBody>
    </xdr:sp>
    <xdr:clientData/>
  </xdr:twoCellAnchor>
  <xdr:twoCellAnchor>
    <xdr:from>
      <xdr:col>12</xdr:col>
      <xdr:colOff>78956</xdr:colOff>
      <xdr:row>21</xdr:row>
      <xdr:rowOff>103698</xdr:rowOff>
    </xdr:from>
    <xdr:to>
      <xdr:col>13</xdr:col>
      <xdr:colOff>270141</xdr:colOff>
      <xdr:row>25</xdr:row>
      <xdr:rowOff>36634</xdr:rowOff>
    </xdr:to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CD6328A3-52D4-4298-BD45-D370401D6629}"/>
            </a:ext>
          </a:extLst>
        </xdr:cNvPr>
        <xdr:cNvSpPr txBox="1"/>
      </xdr:nvSpPr>
      <xdr:spPr>
        <a:xfrm>
          <a:off x="4196687" y="3356852"/>
          <a:ext cx="572185" cy="54839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DAN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CC1-N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12</xdr:col>
      <xdr:colOff>70249</xdr:colOff>
      <xdr:row>31</xdr:row>
      <xdr:rowOff>13078</xdr:rowOff>
    </xdr:from>
    <xdr:to>
      <xdr:col>13</xdr:col>
      <xdr:colOff>261434</xdr:colOff>
      <xdr:row>35</xdr:row>
      <xdr:rowOff>21981</xdr:rowOff>
    </xdr:to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2AB10357-6E7C-40D1-AFCF-9DA8BC76DE04}"/>
            </a:ext>
          </a:extLst>
        </xdr:cNvPr>
        <xdr:cNvSpPr txBox="1"/>
      </xdr:nvSpPr>
      <xdr:spPr>
        <a:xfrm>
          <a:off x="4187980" y="4797559"/>
          <a:ext cx="572185" cy="62436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DAN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CC1-N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</a:p>
      </xdr:txBody>
    </xdr:sp>
    <xdr:clientData/>
  </xdr:twoCellAnchor>
  <xdr:twoCellAnchor>
    <xdr:from>
      <xdr:col>10</xdr:col>
      <xdr:colOff>146957</xdr:colOff>
      <xdr:row>13</xdr:row>
      <xdr:rowOff>18724</xdr:rowOff>
    </xdr:from>
    <xdr:to>
      <xdr:col>11</xdr:col>
      <xdr:colOff>82385</xdr:colOff>
      <xdr:row>15</xdr:row>
      <xdr:rowOff>140190</xdr:rowOff>
    </xdr:to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DD10A831-4047-4E5B-AEFA-DB525FFA36A5}"/>
            </a:ext>
          </a:extLst>
        </xdr:cNvPr>
        <xdr:cNvSpPr txBox="1"/>
      </xdr:nvSpPr>
      <xdr:spPr>
        <a:xfrm rot="5400000">
          <a:off x="3450281" y="2087500"/>
          <a:ext cx="426266" cy="31642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POMPA</a:t>
          </a:r>
          <a:endParaRPr lang="en-US" sz="2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331809</xdr:colOff>
      <xdr:row>15</xdr:row>
      <xdr:rowOff>120281</xdr:rowOff>
    </xdr:from>
    <xdr:to>
      <xdr:col>11</xdr:col>
      <xdr:colOff>343534</xdr:colOff>
      <xdr:row>31</xdr:row>
      <xdr:rowOff>96770</xdr:rowOff>
    </xdr:to>
    <xdr:cxnSp macro="">
      <xdr:nvCxnSpPr>
        <xdr:cNvPr id="241" name="Straight Connector 240">
          <a:extLst>
            <a:ext uri="{FF2B5EF4-FFF2-40B4-BE49-F238E27FC236}">
              <a16:creationId xmlns:a16="http://schemas.microsoft.com/office/drawing/2014/main" id="{05E3852C-2007-4382-9D58-109077506409}"/>
            </a:ext>
          </a:extLst>
        </xdr:cNvPr>
        <xdr:cNvCxnSpPr>
          <a:stCxn id="248" idx="6"/>
          <a:endCxn id="219" idx="6"/>
        </xdr:cNvCxnSpPr>
      </xdr:nvCxnSpPr>
      <xdr:spPr>
        <a:xfrm flipH="1" flipV="1">
          <a:off x="4074574" y="2473516"/>
          <a:ext cx="11725" cy="2475401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232513</xdr:colOff>
      <xdr:row>16</xdr:row>
      <xdr:rowOff>87516</xdr:rowOff>
    </xdr:from>
    <xdr:to>
      <xdr:col>12</xdr:col>
      <xdr:colOff>92404</xdr:colOff>
      <xdr:row>19</xdr:row>
      <xdr:rowOff>7272</xdr:rowOff>
    </xdr:to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972BDBED-721F-4046-A91A-AD3A85982723}"/>
            </a:ext>
          </a:extLst>
        </xdr:cNvPr>
        <xdr:cNvSpPr txBox="1"/>
      </xdr:nvSpPr>
      <xdr:spPr>
        <a:xfrm rot="16200000">
          <a:off x="3900522" y="2672390"/>
          <a:ext cx="390403" cy="2408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11</xdr:col>
      <xdr:colOff>232513</xdr:colOff>
      <xdr:row>19</xdr:row>
      <xdr:rowOff>151304</xdr:rowOff>
    </xdr:from>
    <xdr:to>
      <xdr:col>12</xdr:col>
      <xdr:colOff>92404</xdr:colOff>
      <xdr:row>22</xdr:row>
      <xdr:rowOff>71060</xdr:rowOff>
    </xdr:to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08814629-9BE6-4FC3-AA24-6D170BF0D437}"/>
            </a:ext>
          </a:extLst>
        </xdr:cNvPr>
        <xdr:cNvSpPr txBox="1"/>
      </xdr:nvSpPr>
      <xdr:spPr>
        <a:xfrm rot="16200000">
          <a:off x="3900522" y="3206825"/>
          <a:ext cx="390403" cy="2408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11</xdr:col>
      <xdr:colOff>237275</xdr:colOff>
      <xdr:row>23</xdr:row>
      <xdr:rowOff>117638</xdr:rowOff>
    </xdr:from>
    <xdr:to>
      <xdr:col>12</xdr:col>
      <xdr:colOff>97166</xdr:colOff>
      <xdr:row>26</xdr:row>
      <xdr:rowOff>37394</xdr:rowOff>
    </xdr:to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9AF23C7A-5521-4D3C-95B6-EE3EB8172C53}"/>
            </a:ext>
          </a:extLst>
        </xdr:cNvPr>
        <xdr:cNvSpPr txBox="1"/>
      </xdr:nvSpPr>
      <xdr:spPr>
        <a:xfrm rot="16200000">
          <a:off x="3905284" y="3800688"/>
          <a:ext cx="390403" cy="2408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11</xdr:col>
      <xdr:colOff>246800</xdr:colOff>
      <xdr:row>27</xdr:row>
      <xdr:rowOff>124556</xdr:rowOff>
    </xdr:from>
    <xdr:to>
      <xdr:col>12</xdr:col>
      <xdr:colOff>106691</xdr:colOff>
      <xdr:row>30</xdr:row>
      <xdr:rowOff>61522</xdr:rowOff>
    </xdr:to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642738FF-DB9F-4F5E-84A7-78999B1C1436}"/>
            </a:ext>
          </a:extLst>
        </xdr:cNvPr>
        <xdr:cNvSpPr txBox="1"/>
      </xdr:nvSpPr>
      <xdr:spPr>
        <a:xfrm rot="16200000">
          <a:off x="3911807" y="4438138"/>
          <a:ext cx="396407" cy="2408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10</xdr:col>
      <xdr:colOff>300594</xdr:colOff>
      <xdr:row>31</xdr:row>
      <xdr:rowOff>137008</xdr:rowOff>
    </xdr:from>
    <xdr:to>
      <xdr:col>11</xdr:col>
      <xdr:colOff>258726</xdr:colOff>
      <xdr:row>32</xdr:row>
      <xdr:rowOff>13843</xdr:rowOff>
    </xdr:to>
    <xdr:cxnSp macro="">
      <xdr:nvCxnSpPr>
        <xdr:cNvPr id="246" name="Straight Connector 245">
          <a:extLst>
            <a:ext uri="{FF2B5EF4-FFF2-40B4-BE49-F238E27FC236}">
              <a16:creationId xmlns:a16="http://schemas.microsoft.com/office/drawing/2014/main" id="{5DE6290E-491F-4D0C-8B1F-DD60963FBFC1}"/>
            </a:ext>
          </a:extLst>
        </xdr:cNvPr>
        <xdr:cNvCxnSpPr/>
      </xdr:nvCxnSpPr>
      <xdr:spPr>
        <a:xfrm flipV="1">
          <a:off x="3662359" y="4989155"/>
          <a:ext cx="339132" cy="33717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233016</xdr:colOff>
      <xdr:row>31</xdr:row>
      <xdr:rowOff>39178</xdr:rowOff>
    </xdr:from>
    <xdr:to>
      <xdr:col>11</xdr:col>
      <xdr:colOff>343534</xdr:colOff>
      <xdr:row>31</xdr:row>
      <xdr:rowOff>151048</xdr:rowOff>
    </xdr:to>
    <xdr:grpSp>
      <xdr:nvGrpSpPr>
        <xdr:cNvPr id="247" name="Group 246">
          <a:extLst>
            <a:ext uri="{FF2B5EF4-FFF2-40B4-BE49-F238E27FC236}">
              <a16:creationId xmlns:a16="http://schemas.microsoft.com/office/drawing/2014/main" id="{606AD011-BA69-49C2-9D9D-9A350C4F96C9}"/>
            </a:ext>
          </a:extLst>
        </xdr:cNvPr>
        <xdr:cNvGrpSpPr/>
      </xdr:nvGrpSpPr>
      <xdr:grpSpPr>
        <a:xfrm>
          <a:off x="3961373" y="4720035"/>
          <a:ext cx="110518" cy="11187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48" name="Oval 247">
            <a:extLst>
              <a:ext uri="{FF2B5EF4-FFF2-40B4-BE49-F238E27FC236}">
                <a16:creationId xmlns:a16="http://schemas.microsoft.com/office/drawing/2014/main" id="{BBCE038E-9190-4548-9224-83AFB6776A6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73" name="Straight Connector 372">
            <a:extLst>
              <a:ext uri="{FF2B5EF4-FFF2-40B4-BE49-F238E27FC236}">
                <a16:creationId xmlns:a16="http://schemas.microsoft.com/office/drawing/2014/main" id="{D922B0A8-B28E-43AE-90F1-FBA897E4F1DA}"/>
              </a:ext>
            </a:extLst>
          </xdr:cNvPr>
          <xdr:cNvCxnSpPr>
            <a:stCxn id="248" idx="1"/>
            <a:endCxn id="24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Straight Connector 373">
            <a:extLst>
              <a:ext uri="{FF2B5EF4-FFF2-40B4-BE49-F238E27FC236}">
                <a16:creationId xmlns:a16="http://schemas.microsoft.com/office/drawing/2014/main" id="{0881105A-6650-4FDD-9376-414DF71BA83E}"/>
              </a:ext>
            </a:extLst>
          </xdr:cNvPr>
          <xdr:cNvCxnSpPr>
            <a:stCxn id="248" idx="3"/>
            <a:endCxn id="24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271691</xdr:colOff>
      <xdr:row>31</xdr:row>
      <xdr:rowOff>53718</xdr:rowOff>
    </xdr:from>
    <xdr:to>
      <xdr:col>11</xdr:col>
      <xdr:colOff>281508</xdr:colOff>
      <xdr:row>32</xdr:row>
      <xdr:rowOff>140625</xdr:rowOff>
    </xdr:to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44908EA1-C635-4092-A040-A542C9BBF230}"/>
            </a:ext>
          </a:extLst>
        </xdr:cNvPr>
        <xdr:cNvSpPr txBox="1"/>
      </xdr:nvSpPr>
      <xdr:spPr>
        <a:xfrm rot="21283218">
          <a:off x="3629934" y="4799889"/>
          <a:ext cx="390817" cy="2393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 editAs="oneCell">
    <xdr:from>
      <xdr:col>11</xdr:col>
      <xdr:colOff>285749</xdr:colOff>
      <xdr:row>40</xdr:row>
      <xdr:rowOff>106007</xdr:rowOff>
    </xdr:from>
    <xdr:to>
      <xdr:col>21</xdr:col>
      <xdr:colOff>260661</xdr:colOff>
      <xdr:row>54</xdr:row>
      <xdr:rowOff>51644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7292FA-BBA6-431F-AF9F-2721F3E82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4312" y="5940070"/>
          <a:ext cx="3784912" cy="208876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17</xdr:row>
      <xdr:rowOff>38100</xdr:rowOff>
    </xdr:from>
    <xdr:to>
      <xdr:col>21</xdr:col>
      <xdr:colOff>152400</xdr:colOff>
      <xdr:row>53</xdr:row>
      <xdr:rowOff>112415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AA64F0-13E0-41C3-834D-20CAC983D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0" y="2667000"/>
          <a:ext cx="8991600" cy="5560715"/>
        </a:xfrm>
        <a:prstGeom prst="rect">
          <a:avLst/>
        </a:prstGeom>
      </xdr:spPr>
    </xdr:pic>
    <xdr:clientData/>
  </xdr:twoCellAnchor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155864</xdr:colOff>
      <xdr:row>18</xdr:row>
      <xdr:rowOff>34636</xdr:rowOff>
    </xdr:from>
    <xdr:to>
      <xdr:col>13</xdr:col>
      <xdr:colOff>363682</xdr:colOff>
      <xdr:row>18</xdr:row>
      <xdr:rowOff>34636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310BF23B-5BF1-4263-A5D1-8AC48D3ED913}"/>
            </a:ext>
          </a:extLst>
        </xdr:cNvPr>
        <xdr:cNvCxnSpPr/>
      </xdr:nvCxnSpPr>
      <xdr:spPr>
        <a:xfrm>
          <a:off x="6719455" y="2805545"/>
          <a:ext cx="207818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536863</xdr:colOff>
      <xdr:row>17</xdr:row>
      <xdr:rowOff>103909</xdr:rowOff>
    </xdr:from>
    <xdr:to>
      <xdr:col>13</xdr:col>
      <xdr:colOff>190499</xdr:colOff>
      <xdr:row>19</xdr:row>
      <xdr:rowOff>34635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93F13B1-D208-4CE5-9F60-E3C259270B39}"/>
            </a:ext>
          </a:extLst>
        </xdr:cNvPr>
        <xdr:cNvSpPr/>
      </xdr:nvSpPr>
      <xdr:spPr>
        <a:xfrm>
          <a:off x="6494318" y="2718954"/>
          <a:ext cx="259772" cy="242454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erbilang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REKAP KONSTRUKSI"/>
      <sheetName val="Sheet2"/>
      <sheetName val="Sheet3"/>
      <sheetName val="Sheet4"/>
      <sheetName val="www.Kelasexcel.web.id"/>
      <sheetName val="DETAIL USULAN"/>
      <sheetName val="NO. PRK"/>
      <sheetName val="DB"/>
      <sheetName val="LOKASI"/>
      <sheetName val="HARGA SATUAN"/>
      <sheetName val="PROGRAM"/>
      <sheetName val="RAB"/>
      <sheetName val="SAMPUL"/>
      <sheetName val="PENGESAHAN"/>
      <sheetName val="DATA"/>
      <sheetName val="KKO"/>
      <sheetName val="KKF"/>
      <sheetName val="KR"/>
      <sheetName val="REKAP USULAN"/>
      <sheetName val="DATA MATERIAL"/>
      <sheetName val="REKAP MDU"/>
      <sheetName val="REKAP TIANG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AVING KWH SUSUT"/>
    </sheetNames>
    <definedNames>
      <definedName name="terbilang"/>
    </definedNames>
    <sheetDataSet>
      <sheetData sheetId="0"/>
      <sheetData sheetId="1" refreshError="1"/>
      <sheetData sheetId="2" refreshError="1"/>
      <sheetData sheetId="3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goo.gl/maps/MxXpoCT4nTUC1wo48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4" sqref="C24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1" t="s">
        <v>1134</v>
      </c>
      <c r="C4" s="521"/>
      <c r="D4" s="521"/>
      <c r="E4" s="521"/>
      <c r="F4" s="521"/>
      <c r="G4" s="521"/>
      <c r="H4" s="52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2" t="s">
        <v>0</v>
      </c>
      <c r="C7" s="522" t="s">
        <v>1</v>
      </c>
      <c r="D7" s="523" t="s">
        <v>42</v>
      </c>
      <c r="E7" s="523" t="s">
        <v>43</v>
      </c>
      <c r="F7" s="523" t="s">
        <v>1135</v>
      </c>
      <c r="G7" s="524" t="s">
        <v>41</v>
      </c>
      <c r="H7" s="520" t="s">
        <v>1042</v>
      </c>
      <c r="I7" s="520" t="s">
        <v>1137</v>
      </c>
      <c r="J7" s="520" t="s">
        <v>1026</v>
      </c>
      <c r="K7" s="514" t="s">
        <v>1024</v>
      </c>
      <c r="L7" s="515"/>
    </row>
    <row r="8" spans="1:12" ht="15" customHeight="1">
      <c r="B8" s="522"/>
      <c r="C8" s="522"/>
      <c r="D8" s="523"/>
      <c r="E8" s="523"/>
      <c r="F8" s="523"/>
      <c r="G8" s="524"/>
      <c r="H8" s="520"/>
      <c r="I8" s="520"/>
      <c r="J8" s="520"/>
      <c r="K8" s="516"/>
      <c r="L8" s="517"/>
    </row>
    <row r="9" spans="1:12" ht="15" customHeight="1">
      <c r="B9" s="522"/>
      <c r="C9" s="522"/>
      <c r="D9" s="523"/>
      <c r="E9" s="523"/>
      <c r="F9" s="523"/>
      <c r="G9" s="524"/>
      <c r="H9" s="520"/>
      <c r="I9" s="520"/>
      <c r="J9" s="520"/>
      <c r="K9" s="518"/>
      <c r="L9" s="51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5(100) A; kls 1 termasuk modem 3G/4G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1740750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NFA2X-T 3x70+1x70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250</v>
      </c>
      <c r="G14" s="41">
        <f ca="1">IF(ISERROR(OFFSET('HARGA SATUAN'!$I$6,MATCH(C14,'HARGA SATUAN'!$C$7:$C$1492,0),0)),"",OFFSET('HARGA SATUAN'!$I$6,MATCH(C14,'HARGA SATUAN'!$C$7:$C$1492,0),0))</f>
        <v>54500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 2 x 16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35</v>
      </c>
      <c r="G15" s="41">
        <f ca="1">IF(ISERROR(OFFSET('HARGA SATUAN'!$I$6,MATCH(C15,'HARGA SATUAN'!$C$7:$C$1492,0),0)),"",OFFSET('HARGA SATUAN'!$I$6,MATCH(C15,'HARGA SATUAN'!$C$7:$C$1492,0),0))</f>
        <v>6600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SUMIFS(RAB!$F$14:$F$68,RAB!$C$14:$C$68,C714)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SUMIFS(RAB!$F$14:$F$68,RAB!$C$14:$C$68,C715)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SUMIFS(RAB!$F$14:$F$68,RAB!$C$14:$C$68,C716)</f>
        <v>1</v>
      </c>
      <c r="E716" s="26">
        <f t="shared" ca="1" si="33"/>
        <v>1</v>
      </c>
      <c r="F716" s="26">
        <f ca="1">IF(D716=0,0,SUM($E$713:E716))</f>
        <v>1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SUMIFS(RAB!$F$14:$F$68,RAB!$C$14:$C$68,C717)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SUMIFS(RAB!$F$14:$F$68,RAB!$C$14:$C$68,C718)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SUMIFS(RAB!$F$14:$F$68,RAB!$C$14:$C$68,C719)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SUMIFS(RAB!$F$14:$F$68,RAB!$C$14:$C$68,C720)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SUMIFS(RAB!$F$14:$F$68,RAB!$C$14:$C$68,C721)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SUMIFS(RAB!$F$14:$F$68,RAB!$C$14:$C$68,C722)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SUMIFS(RAB!$F$14:$F$68,RAB!$C$14:$C$68,C723)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SUMIFS(RAB!$F$14:$F$68,RAB!$C$14:$C$68,C724)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SUMIFS(RAB!$F$14:$F$68,RAB!$C$14:$C$68,C725)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SUMIFS(RAB!$F$14:$F$68,RAB!$C$14:$C$68,C726)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SUMIFS(RAB!$F$14:$F$68,RAB!$C$14:$C$68,C727)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SUMIFS(RAB!$F$14:$F$68,RAB!$C$14:$C$68,C728)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SUMIFS(RAB!$F$14:$F$68,RAB!$C$14:$C$68,C729)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SUMIFS(RAB!$F$14:$F$68,RAB!$C$14:$C$68,C730)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SUMIFS(RAB!$F$14:$F$68,RAB!$C$14:$C$68,C731)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SUMIFS(RAB!$F$14:$F$68,RAB!$C$14:$C$68,C732)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SUMIFS(RAB!$F$14:$F$68,RAB!$C$14:$C$68,C733)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SUMIFS(RAB!$F$14:$F$68,RAB!$C$14:$C$68,C734)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SUMIFS(RAB!$F$14:$F$68,RAB!$C$14:$C$68,C735)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SUMIFS(RAB!$F$14:$F$68,RAB!$C$14:$C$68,C736)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SUMIFS(RAB!$F$14:$F$68,RAB!$C$14:$C$68,C737)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SUMIFS(RAB!$F$14:$F$68,RAB!$C$14:$C$68,C738)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SUMIFS(RAB!$F$14:$F$68,RAB!$C$14:$C$68,C739)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SUMIFS(RAB!$F$14:$F$68,RAB!$C$14:$C$68,C740)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SUMIFS(RAB!$F$14:$F$68,RAB!$C$14:$C$68,C741)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SUMIFS(RAB!$F$14:$F$68,RAB!$C$14:$C$68,C742)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SUMIFS(RAB!$F$14:$F$68,RAB!$C$14:$C$68,C743)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SUMIFS(RAB!$F$14:$F$68,RAB!$C$14:$C$68,C744)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SUMIFS(RAB!$F$14:$F$68,RAB!$C$14:$C$68,C745)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SUMIFS(RAB!$F$14:$F$68,RAB!$C$14:$C$68,C746)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SUMIFS(RAB!$F$14:$F$68,RAB!$C$14:$C$68,C747)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SUMIFS(RAB!$F$14:$F$68,RAB!$C$14:$C$68,C748)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SUMIFS(RAB!$F$14:$F$68,RAB!$C$14:$C$68,C749)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SUMIFS(RAB!$F$14:$F$68,RAB!$C$14:$C$68,C750)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SUMIFS(RAB!$F$14:$F$68,RAB!$C$14:$C$68,C751)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SUMIFS(RAB!$F$14:$F$68,RAB!$C$14:$C$68,C752)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SUMIFS(RAB!$F$14:$F$68,RAB!$C$14:$C$68,C753)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SUMIFS(RAB!$F$14:$F$68,RAB!$C$14:$C$68,C754)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SUMIFS(RAB!$F$14:$F$68,RAB!$C$14:$C$68,C755)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SUMIFS(RAB!$F$14:$F$68,RAB!$C$14:$C$68,C756)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SUMIFS(RAB!$F$14:$F$68,RAB!$C$14:$C$68,C757)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SUMIFS(RAB!$F$14:$F$68,RAB!$C$14:$C$68,C758)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SUMIFS(RAB!$F$14:$F$68,RAB!$C$14:$C$68,C759)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SUMIFS(RAB!$F$14:$F$68,RAB!$C$14:$C$68,C760)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SUMIFS(RAB!$F$14:$F$68,RAB!$C$14:$C$68,C761)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SUMIFS(RAB!$F$14:$F$68,RAB!$C$14:$C$68,C762)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SUMIFS(RAB!$F$14:$F$68,RAB!$C$14:$C$68,C763)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SUMIFS(RAB!$F$14:$F$68,RAB!$C$14:$C$68,C764)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SUMIFS(RAB!$F$14:$F$68,RAB!$C$14:$C$68,C765)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SUMIFS(RAB!$F$14:$F$68,RAB!$C$14:$C$68,C766)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SUMIFS(RAB!$F$14:$F$68,RAB!$C$14:$C$68,C767)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SUMIFS(RAB!$F$14:$F$68,RAB!$C$14:$C$68,C768)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SUMIFS(RAB!$F$14:$F$68,RAB!$C$14:$C$68,C769)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SUMIFS(RAB!$F$14:$F$68,RAB!$C$14:$C$68,C770)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SUMIFS(RAB!$F$14:$F$68,RAB!$C$14:$C$68,C771)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SUMIFS(RAB!$F$14:$F$68,RAB!$C$14:$C$68,C772)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SUMIFS(RAB!$F$14:$F$68,RAB!$C$14:$C$68,C773)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SUMIFS(RAB!$F$14:$F$68,RAB!$C$14:$C$68,C774)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SUMIFS(RAB!$F$14:$F$68,RAB!$C$14:$C$68,C775)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SUMIFS(RAB!$F$14:$F$68,RAB!$C$14:$C$68,C776)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SUMIFS(RAB!$F$14:$F$68,RAB!$C$14:$C$68,C777)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SUMIFS(RAB!$F$14:$F$68,RAB!$C$14:$C$68,C778)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SUMIFS(RAB!$F$14:$F$68,RAB!$C$14:$C$68,C779)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SUMIFS(RAB!$F$14:$F$68,RAB!$C$14:$C$68,C780)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SUMIFS(RAB!$F$14:$F$68,RAB!$C$14:$C$68,C781)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SUMIFS(RAB!$F$14:$F$68,RAB!$C$14:$C$68,C782)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SUMIFS(RAB!$F$14:$F$68,RAB!$C$14:$C$68,C783)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SUMIFS(RAB!$F$14:$F$68,RAB!$C$14:$C$68,C784)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SUMIFS(RAB!$F$14:$F$68,RAB!$C$14:$C$68,C785)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SUMIFS(RAB!$F$14:$F$68,RAB!$C$14:$C$68,C786)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SUMIFS(RAB!$F$14:$F$68,RAB!$C$14:$C$68,C787)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SUMIFS(RAB!$F$14:$F$68,RAB!$C$14:$C$68,C788)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SUMIFS(RAB!$F$14:$F$68,RAB!$C$14:$C$68,C789)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SUMIFS(RAB!$F$14:$F$68,RAB!$C$14:$C$68,C790)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SUMIFS(RAB!$F$14:$F$68,RAB!$C$14:$C$68,C791)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SUMIFS(RAB!$F$14:$F$68,RAB!$C$14:$C$68,C792)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SUMIFS(RAB!$F$14:$F$68,RAB!$C$14:$C$68,C793)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SUMIFS(RAB!$F$14:$F$68,RAB!$C$14:$C$68,C794)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SUMIFS(RAB!$F$14:$F$68,RAB!$C$14:$C$68,C795)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SUMIFS(RAB!$F$14:$F$68,RAB!$C$14:$C$68,C796)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SUMIFS(RAB!$F$14:$F$68,RAB!$C$14:$C$68,C797)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SUMIFS(RAB!$F$14:$F$68,RAB!$C$14:$C$68,C798)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SUMIFS(RAB!$F$14:$F$68,RAB!$C$14:$C$68,C799)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SUMIFS(RAB!$F$14:$F$68,RAB!$C$14:$C$68,C800)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SUMIFS(RAB!$F$14:$F$68,RAB!$C$14:$C$68,C801)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SUMIFS(RAB!$F$14:$F$68,RAB!$C$14:$C$68,C802)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SUMIFS(RAB!$F$14:$F$68,RAB!$C$14:$C$68,C803)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SUMIFS(RAB!$F$14:$F$68,RAB!$C$14:$C$68,C804)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SUMIFS(RAB!$F$14:$F$68,RAB!$C$14:$C$68,C805)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SUMIFS(RAB!$F$14:$F$68,RAB!$C$14:$C$68,C806)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SUMIFS(RAB!$F$14:$F$68,RAB!$C$14:$C$68,C807)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SUMIFS(RAB!$F$14:$F$68,RAB!$C$14:$C$68,C808)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SUMIFS(RAB!$F$14:$F$68,RAB!$C$14:$C$68,C809)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SUMIFS(RAB!$F$14:$F$68,RAB!$C$14:$C$68,C810)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SUMIFS(RAB!$F$14:$F$68,RAB!$C$14:$C$68,C811)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SUMIFS(RAB!$F$14:$F$68,RAB!$C$14:$C$68,C812)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SUMIFS(RAB!$F$14:$F$68,RAB!$C$14:$C$68,C813)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SUMIFS(RAB!$F$14:$F$68,RAB!$C$14:$C$68,C814)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SUMIFS(RAB!$F$14:$F$68,RAB!$C$14:$C$68,C815)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SUMIFS(RAB!$F$14:$F$68,RAB!$C$14:$C$68,C816)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SUMIFS(RAB!$F$14:$F$68,RAB!$C$14:$C$68,C817)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SUMIFS(RAB!$F$14:$F$68,RAB!$C$14:$C$68,C818)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SUMIFS(RAB!$F$14:$F$68,RAB!$C$14:$C$68,C819)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SUMIFS(RAB!$F$14:$F$68,RAB!$C$14:$C$68,C820)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SUMIFS(RAB!$F$14:$F$68,RAB!$C$14:$C$68,C821)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SUMIFS(RAB!$F$14:$F$68,RAB!$C$14:$C$68,C822)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SUMIFS(RAB!$F$14:$F$68,RAB!$C$14:$C$68,C823)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SUMIFS(RAB!$F$14:$F$68,RAB!$C$14:$C$68,C824)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SUMIFS(RAB!$F$14:$F$68,RAB!$C$14:$C$68,C825)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SUMIFS(RAB!$F$14:$F$68,RAB!$C$14:$C$68,C826)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SUMIFS(RAB!$F$14:$F$68,RAB!$C$14:$C$68,C827)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SUMIFS(RAB!$F$14:$F$68,RAB!$C$14:$C$68,C828)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SUMIFS(RAB!$F$14:$F$68,RAB!$C$14:$C$68,C829)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SUMIFS(RAB!$F$14:$F$68,RAB!$C$14:$C$68,C830)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SUMIFS(RAB!$F$14:$F$68,RAB!$C$14:$C$68,C831)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SUMIFS(RAB!$F$14:$F$68,RAB!$C$14:$C$68,C832)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SUMIFS(RAB!$F$14:$F$68,RAB!$C$14:$C$68,C833)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SUMIFS(RAB!$F$14:$F$68,RAB!$C$14:$C$68,C834)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SUMIFS(RAB!$F$14:$F$68,RAB!$C$14:$C$68,C835)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SUMIFS(RAB!$F$14:$F$68,RAB!$C$14:$C$68,C836)</f>
        <v>250</v>
      </c>
      <c r="E836" s="26">
        <f t="shared" ca="1" si="34"/>
        <v>1</v>
      </c>
      <c r="F836" s="26">
        <f ca="1">IF(D836=0,0,SUM($E$713:E836))</f>
        <v>3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SUMIFS(RAB!$F$14:$F$68,RAB!$C$14:$C$68,C837)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SUMIFS(RAB!$F$14:$F$68,RAB!$C$14:$C$68,C838)</f>
        <v>35</v>
      </c>
      <c r="E838" s="26">
        <f t="shared" ca="1" si="34"/>
        <v>1</v>
      </c>
      <c r="F838" s="26">
        <f ca="1">IF(D838=0,0,SUM($E$713:E838))</f>
        <v>4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SUMIFS(RAB!$F$14:$F$68,RAB!$C$14:$C$68,C839)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SUMIFS(RAB!$F$14:$F$68,RAB!$C$14:$C$68,C840)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SUMIFS(RAB!$F$14:$F$68,RAB!$C$14:$C$68,C841)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SUMIFS(RAB!$F$14:$F$68,RAB!$C$14:$C$68,C842)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SUMIFS(RAB!$F$14:$F$68,RAB!$C$14:$C$68,C843)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SUMIFS(RAB!$F$14:$F$68,RAB!$C$14:$C$68,C844)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SUMIFS(RAB!$F$14:$F$68,RAB!$C$14:$C$68,C845)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SUMIFS(RAB!$F$14:$F$68,RAB!$C$14:$C$68,C846)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SUMIFS(RAB!$F$14:$F$68,RAB!$C$14:$C$68,C847)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SUMIFS(RAB!$F$14:$F$68,RAB!$C$14:$C$68,C848)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SUMIFS(RAB!$F$14:$F$68,RAB!$C$14:$C$68,C849)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SUMIFS(RAB!$F$14:$F$68,RAB!$C$14:$C$68,C850)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SUMIFS(RAB!$F$14:$F$68,RAB!$C$14:$C$68,C851)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SUMIFS(RAB!$F$14:$F$68,RAB!$C$14:$C$68,C852)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SUMIFS(RAB!$F$14:$F$68,RAB!$C$14:$C$68,C853)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SUMIFS(RAB!$F$14:$F$68,RAB!$C$14:$C$68,C854)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SUMIFS(RAB!$F$14:$F$68,RAB!$C$14:$C$68,C855)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SUMIFS(RAB!$F$14:$F$68,RAB!$C$14:$C$68,C856)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SUMIFS(RAB!$F$14:$F$68,RAB!$C$14:$C$68,C857)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SUMIFS(RAB!$F$14:$F$68,RAB!$C$14:$C$68,C858)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SUMIFS(RAB!$F$14:$F$68,RAB!$C$14:$C$68,C859)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SUMIFS(RAB!$F$14:$F$68,RAB!$C$14:$C$68,C860)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SUMIFS(RAB!$F$14:$F$68,RAB!$C$14:$C$68,C861)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SUMIFS(RAB!$F$14:$F$68,RAB!$C$14:$C$68,C862)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SUMIFS(RAB!$F$14:$F$68,RAB!$C$14:$C$68,C863)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SUMIFS(RAB!$F$14:$F$68,RAB!$C$14:$C$68,C864)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SUMIFS(RAB!$F$14:$F$68,RAB!$C$14:$C$68,C865)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SUMIFS(RAB!$F$14:$F$68,RAB!$C$14:$C$68,C866)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SUMIFS(RAB!$F$14:$F$68,RAB!$C$14:$C$68,C867)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SUMIFS(RAB!$F$14:$F$68,RAB!$C$14:$C$68,C868)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SUMIFS(RAB!$F$14:$F$68,RAB!$C$14:$C$68,C869)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SUMIFS(RAB!$F$14:$F$68,RAB!$C$14:$C$68,C870)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SUMIFS(RAB!$F$14:$F$68,RAB!$C$14:$C$68,C871)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SUMIFS(RAB!$F$14:$F$68,RAB!$C$14:$C$68,C872)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SUMIFS(RAB!$F$14:$F$68,RAB!$C$14:$C$68,C873)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SUMIFS(RAB!$F$14:$F$68,RAB!$C$14:$C$68,C874)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SUMIFS(RAB!$F$14:$F$68,RAB!$C$14:$C$68,C875)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SUMIFS(RAB!$F$14:$F$68,RAB!$C$14:$C$68,C876)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SUMIFS(RAB!$F$14:$F$68,RAB!$C$14:$C$68,C877)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SUMIFS(RAB!$F$14:$F$68,RAB!$C$14:$C$68,C878)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SUMIFS(RAB!$F$14:$F$68,RAB!$C$14:$C$68,C879)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SUMIFS(RAB!$F$14:$F$68,RAB!$C$14:$C$68,C880)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SUMIFS(RAB!$F$14:$F$68,RAB!$C$14:$C$68,C881)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SUMIFS(RAB!$F$14:$F$68,RAB!$C$14:$C$68,C882)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SUMIFS(RAB!$F$14:$F$68,RAB!$C$14:$C$68,C883)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SUMIFS(RAB!$F$14:$F$68,RAB!$C$14:$C$68,C884)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SUMIFS(RAB!$F$14:$F$68,RAB!$C$14:$C$68,C885)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SUMIFS(RAB!$F$14:$F$68,RAB!$C$14:$C$68,C886)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SUMIFS(RAB!$F$14:$F$68,RAB!$C$14:$C$68,C887)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SUMIFS(RAB!$F$14:$F$68,RAB!$C$14:$C$68,C888)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SUMIFS(RAB!$F$14:$F$68,RAB!$C$14:$C$68,C889)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SUMIFS(RAB!$F$14:$F$68,RAB!$C$14:$C$68,C890)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SUMIFS(RAB!$F$14:$F$68,RAB!$C$14:$C$68,C891)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SUMIFS(RAB!$F$14:$F$68,RAB!$C$14:$C$68,C892)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SUMIFS(RAB!$F$14:$F$68,RAB!$C$14:$C$68,C893)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SUMIFS(RAB!$F$14:$F$68,RAB!$C$14:$C$68,C894)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SUMIFS(RAB!$F$14:$F$68,RAB!$C$14:$C$68,C895)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SUMIFS(RAB!$F$14:$F$68,RAB!$C$14:$C$68,C896)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SUMIFS(RAB!$F$14:$F$68,RAB!$C$14:$C$68,C897)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SUMIFS(RAB!$F$14:$F$68,RAB!$C$14:$C$68,C898)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SUMIFS(RAB!$F$14:$F$68,RAB!$C$14:$C$68,C899)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SUMIFS(RAB!$F$14:$F$68,RAB!$C$14:$C$68,C900)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SUMIFS(RAB!$F$14:$F$68,RAB!$C$14:$C$68,C901)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SUMIFS(RAB!$F$14:$F$68,RAB!$C$14:$C$68,C902)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SUMIFS(RAB!$F$14:$F$68,RAB!$C$14:$C$68,C903)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SUMIFS(RAB!$F$14:$F$68,RAB!$C$14:$C$68,C904)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SUMIFS(RAB!$F$14:$F$68,RAB!$C$14:$C$68,C905)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SUMIFS(RAB!$F$14:$F$68,RAB!$C$14:$C$68,C906)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SUMIFS(RAB!$F$14:$F$68,RAB!$C$14:$C$68,C907)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SUMIFS(RAB!$F$14:$F$68,RAB!$C$14:$C$68,C908)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SUMIFS(RAB!$F$14:$F$68,RAB!$C$14:$C$68,C909)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SUMIFS(RAB!$F$14:$F$68,RAB!$C$14:$C$68,C910)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SUMIFS(RAB!$F$14:$F$68,RAB!$C$14:$C$68,C911)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SUMIFS(RAB!$F$14:$F$68,RAB!$C$14:$C$68,C912)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SUMIFS(RAB!$F$14:$F$68,RAB!$C$14:$C$68,C913)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SUMIFS(RAB!$F$14:$F$68,RAB!$C$14:$C$68,C914)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SUMIFS(RAB!$F$14:$F$68,RAB!$C$14:$C$68,C915)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SUMIFS(RAB!$F$14:$F$68,RAB!$C$14:$C$68,C916)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SUMIFS(RAB!$F$14:$F$68,RAB!$C$14:$C$68,C917)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SUMIFS(RAB!$F$14:$F$68,RAB!$C$14:$C$68,C918)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SUMIFS(RAB!$F$14:$F$68,RAB!$C$14:$C$68,C919)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SUMIFS(RAB!$F$14:$F$68,RAB!$C$14:$C$68,C920)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SUMIFS(RAB!$F$14:$F$68,RAB!$C$14:$C$68,C921)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SUMIFS(RAB!$F$14:$F$68,RAB!$C$14:$C$68,C922)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SUMIFS(RAB!$F$14:$F$68,RAB!$C$14:$C$68,C923)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SUMIFS(RAB!$F$14:$F$68,RAB!$C$14:$C$68,C924)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SUMIFS(RAB!$F$14:$F$68,RAB!$C$14:$C$68,C925)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SUMIFS(RAB!$F$14:$F$68,RAB!$C$14:$C$68,C926)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SUMIFS(RAB!$F$14:$F$68,RAB!$C$14:$C$68,C927)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SUMIFS(RAB!$F$14:$F$68,RAB!$C$14:$C$68,C928)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SUMIFS(RAB!$F$14:$F$68,RAB!$C$14:$C$68,C929)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SUMIFS(RAB!$F$14:$F$68,RAB!$C$14:$C$68,C930)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SUMIFS(RAB!$F$14:$F$68,RAB!$C$14:$C$68,C931)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SUMIFS(RAB!$F$14:$F$68,RAB!$C$14:$C$68,C932)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SUMIFS(RAB!$F$14:$F$68,RAB!$C$14:$C$68,C933)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SUMIFS(RAB!$F$14:$F$68,RAB!$C$14:$C$68,C934)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SUMIFS(RAB!$F$14:$F$68,RAB!$C$14:$C$68,C935)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SUMIFS(RAB!$F$14:$F$68,RAB!$C$14:$C$68,C936)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SUMIFS(RAB!$F$14:$F$68,RAB!$C$14:$C$68,C937)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SUMIFS(RAB!$F$14:$F$68,RAB!$C$14:$C$68,C938)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SUMIFS(RAB!$F$14:$F$68,RAB!$C$14:$C$68,C939)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SUMIFS(RAB!$F$14:$F$68,RAB!$C$14:$C$68,C940)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SUMIFS(RAB!$F$14:$F$68,RAB!$C$14:$C$68,C941)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SUMIFS(RAB!$F$14:$F$68,RAB!$C$14:$C$68,C942)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SUMIFS(RAB!$F$14:$F$68,RAB!$C$14:$C$68,C943)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SUMIFS(RAB!$F$14:$F$68,RAB!$C$14:$C$68,C944)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SUMIFS(RAB!$F$14:$F$68,RAB!$C$14:$C$68,C945)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SUMIFS(RAB!$F$14:$F$68,RAB!$C$14:$C$68,C946)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SUMIFS(RAB!$F$14:$F$68,RAB!$C$14:$C$68,C947)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SUMIFS(RAB!$F$14:$F$68,RAB!$C$14:$C$68,C948)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SUMIFS(RAB!$F$14:$F$68,RAB!$C$14:$C$68,C949)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SUMIFS(RAB!$F$14:$F$68,RAB!$C$14:$C$68,C950)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SUMIFS(RAB!$F$14:$F$68,RAB!$C$14:$C$68,C951)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SUMIFS(RAB!$F$14:$F$68,RAB!$C$14:$C$68,C952)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SUMIFS(RAB!$F$14:$F$68,RAB!$C$14:$C$68,C953)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SUMIFS(RAB!$F$14:$F$68,RAB!$C$14:$C$68,C954)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SUMIFS(RAB!$F$14:$F$68,RAB!$C$14:$C$68,C955)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SUMIFS(RAB!$F$14:$F$68,RAB!$C$14:$C$68,C956)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SUMIFS(RAB!$F$14:$F$68,RAB!$C$14:$C$68,C957)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SUMIFS(RAB!$F$14:$F$68,RAB!$C$14:$C$68,C958)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SUMIFS(RAB!$F$14:$F$68,RAB!$C$14:$C$68,C959)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SUMIFS(RAB!$F$14:$F$68,RAB!$C$14:$C$68,C960)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SUMIFS(RAB!$F$14:$F$68,RAB!$C$14:$C$68,C961)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SUMIFS(RAB!$F$14:$F$68,RAB!$C$14:$C$68,C962)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SUMIFS(RAB!$F$14:$F$68,RAB!$C$14:$C$68,C963)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SUMIFS(RAB!$F$14:$F$68,RAB!$C$14:$C$68,C964)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SUMIFS(RAB!$F$14:$F$68,RAB!$C$14:$C$68,C965)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SUMIFS(RAB!$F$14:$F$68,RAB!$C$14:$C$68,C966)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SUMIFS(RAB!$F$14:$F$68,RAB!$C$14:$C$68,C967)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SUMIFS(RAB!$F$14:$F$68,RAB!$C$14:$C$68,C968)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SUMIFS(RAB!$F$14:$F$68,RAB!$C$14:$C$68,C969)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SUMIFS(RAB!$F$14:$F$68,RAB!$C$14:$C$68,C970)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SUMIFS(RAB!$F$14:$F$68,RAB!$C$14:$C$68,C971)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SUMIFS(RAB!$F$14:$F$68,RAB!$C$14:$C$68,C972)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SUMIFS(RAB!$F$14:$F$68,RAB!$C$14:$C$68,C973)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SUMIFS(RAB!$F$14:$F$68,RAB!$C$14:$C$68,C974)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SUMIFS(RAB!$F$14:$F$68,RAB!$C$14:$C$68,C975)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SUMIFS(RAB!$F$14:$F$68,RAB!$C$14:$C$68,C976)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SUMIFS(RAB!$F$14:$F$68,RAB!$C$14:$C$68,C977)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SUMIFS(RAB!$F$14:$F$68,RAB!$C$14:$C$68,C978)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SUMIFS(RAB!$F$14:$F$68,RAB!$C$14:$C$68,C979)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SUMIFS(RAB!$F$14:$F$68,RAB!$C$14:$C$68,C980)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SUMIFS(RAB!$F$14:$F$68,RAB!$C$14:$C$68,C981)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SUMIFS(RAB!$F$14:$F$68,RAB!$C$14:$C$68,C982)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SUMIFS(RAB!$F$14:$F$68,RAB!$C$14:$C$68,C983)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SUMIFS(RAB!$F$14:$F$68,RAB!$C$14:$C$68,C984)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SUMIFS(RAB!$F$14:$F$68,RAB!$C$14:$C$68,C985)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SUMIFS(RAB!$F$14:$F$68,RAB!$C$14:$C$68,C986)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SUMIFS(RAB!$F$14:$F$68,RAB!$C$14:$C$68,C987)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SUMIFS(RAB!$F$14:$F$68,RAB!$C$14:$C$68,C988)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SUMIFS(RAB!$F$14:$F$68,RAB!$C$14:$C$68,C989)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SUMIFS(RAB!$F$14:$F$68,RAB!$C$14:$C$68,C990)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SUMIFS(RAB!$F$14:$F$68,RAB!$C$14:$C$68,C991)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SUMIFS(RAB!$F$14:$F$68,RAB!$C$14:$C$68,C992)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SUMIFS(RAB!$F$14:$F$68,RAB!$C$14:$C$68,C993)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SUMIFS(RAB!$F$14:$F$68,RAB!$C$14:$C$68,C994)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SUMIFS(RAB!$F$14:$F$68,RAB!$C$14:$C$68,C995)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SUMIFS(RAB!$F$14:$F$68,RAB!$C$14:$C$68,C996)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SUMIFS(RAB!$F$14:$F$68,RAB!$C$14:$C$68,C997)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SUMIFS(RAB!$F$14:$F$68,RAB!$C$14:$C$68,C998)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SUMIFS(RAB!$F$14:$F$68,RAB!$C$14:$C$68,C999)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SUMIFS(RAB!$F$14:$F$68,RAB!$C$14:$C$68,C1000)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SUMIFS(RAB!$F$14:$F$68,RAB!$C$14:$C$68,C1001)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SUMIFS(RAB!$F$14:$F$68,RAB!$C$14:$C$68,C1002)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SUMIFS(RAB!$F$14:$F$68,RAB!$C$14:$C$68,C1003)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SUMIFS(RAB!$F$14:$F$68,RAB!$C$14:$C$68,C1004)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SUMIFS(RAB!$F$14:$F$68,RAB!$C$14:$C$68,C1005)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SUMIFS(RAB!$F$14:$F$68,RAB!$C$14:$C$68,C1006)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SUMIFS(RAB!$F$14:$F$68,RAB!$C$14:$C$68,C1007)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SUMIFS(RAB!$F$14:$F$68,RAB!$C$14:$C$68,C1008)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SUMIFS(RAB!$F$14:$F$68,RAB!$C$14:$C$68,C1009)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SUMIFS(RAB!$F$14:$F$68,RAB!$C$14:$C$68,C1010)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SUMIFS(RAB!$F$14:$F$68,RAB!$C$14:$C$68,C1011)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SUMIFS(RAB!$F$14:$F$68,RAB!$C$14:$C$68,C1012)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SUMIFS(RAB!$F$14:$F$68,RAB!$C$14:$C$68,C1013)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SUMIFS(RAB!$F$14:$F$68,RAB!$C$14:$C$68,C1014)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SUMIFS(RAB!$F$14:$F$68,RAB!$C$14:$C$68,C1015)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SUMIFS(RAB!$F$14:$F$68,RAB!$C$14:$C$68,C1016)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SUMIFS(RAB!$F$14:$F$68,RAB!$C$14:$C$68,C1017)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SUMIFS(RAB!$F$14:$F$68,RAB!$C$14:$C$68,C1018)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SUMIFS(RAB!$F$14:$F$68,RAB!$C$14:$C$68,C1019)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SUMIFS(RAB!$F$14:$F$68,RAB!$C$14:$C$68,C1020)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SUMIFS(RAB!$F$14:$F$68,RAB!$C$14:$C$68,C1021)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SUMIFS(RAB!$F$14:$F$68,RAB!$C$14:$C$68,C1022)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SUMIFS(RAB!$F$14:$F$68,RAB!$C$14:$C$68,C1023)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SUMIFS(RAB!$F$14:$F$68,RAB!$C$14:$C$68,C1024)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SUMIFS(RAB!$F$14:$F$68,RAB!$C$14:$C$68,C1025)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SUMIFS(RAB!$F$14:$F$68,RAB!$C$14:$C$68,C1026)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SUMIFS(RAB!$F$14:$F$68,RAB!$C$14:$C$68,C1027)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SUMIFS(RAB!$F$14:$F$68,RAB!$C$14:$C$68,C1028)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SUMIFS(RAB!$F$14:$F$68,RAB!$C$14:$C$68,C1029)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SUMIFS(RAB!$F$14:$F$68,RAB!$C$14:$C$68,C1030)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SUMIFS(RAB!$F$14:$F$68,RAB!$C$14:$C$68,C1031)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SUMIFS(RAB!$F$14:$F$68,RAB!$C$14:$C$68,C1032)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SUMIFS(RAB!$F$14:$F$68,RAB!$C$14:$C$68,C1033)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SUMIFS(RAB!$F$14:$F$68,RAB!$C$14:$C$68,C1034)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SUMIFS(RAB!$F$14:$F$68,RAB!$C$14:$C$68,C1035)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SUMIFS(RAB!$F$14:$F$68,RAB!$C$14:$C$68,C1036)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SUMIFS(RAB!$F$14:$F$68,RAB!$C$14:$C$68,C1037)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SUMIFS(RAB!$F$14:$F$68,RAB!$C$14:$C$68,C1038)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SUMIFS(RAB!$F$14:$F$68,RAB!$C$14:$C$68,C1039)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SUMIFS(RAB!$F$14:$F$68,RAB!$C$14:$C$68,C1040)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SUMIFS(RAB!$F$14:$F$68,RAB!$C$14:$C$68,C1041)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SUMIFS(RAB!$F$14:$F$68,RAB!$C$14:$C$68,C1042)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SUMIFS(RAB!$F$14:$F$68,RAB!$C$14:$C$68,C1043)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SUMIFS(RAB!$F$14:$F$68,RAB!$C$14:$C$68,C1044)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SUMIFS(RAB!$F$14:$F$68,RAB!$C$14:$C$68,C1045)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SUMIFS(RAB!$F$14:$F$68,RAB!$C$14:$C$68,C1046)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SUMIFS(RAB!$F$14:$F$68,RAB!$C$14:$C$68,C1047)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SUMIFS(RAB!$F$14:$F$68,RAB!$C$14:$C$68,C1048)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SUMIFS(RAB!$F$14:$F$68,RAB!$C$14:$C$68,C1049)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SUMIFS(RAB!$F$14:$F$68,RAB!$C$14:$C$68,C1050)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SUMIFS(RAB!$F$14:$F$68,RAB!$C$14:$C$68,C1051)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SUMIFS(RAB!$F$14:$F$68,RAB!$C$14:$C$68,C1052)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SUMIFS(RAB!$F$14:$F$68,RAB!$C$14:$C$68,C1053)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SUMIFS(RAB!$F$14:$F$68,RAB!$C$14:$C$68,C1054)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SUMIFS(RAB!$F$14:$F$68,RAB!$C$14:$C$68,C1055)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SUMIFS(RAB!$F$14:$F$68,RAB!$C$14:$C$68,C1056)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SUMIFS(RAB!$F$14:$F$68,RAB!$C$14:$C$68,C1057)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SUMIFS(RAB!$F$14:$F$68,RAB!$C$14:$C$68,C1058)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SUMIFS(RAB!$F$14:$F$68,RAB!$C$14:$C$68,C1059)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SUMIFS(RAB!$F$14:$F$68,RAB!$C$14:$C$68,C1060)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SUMIFS(RAB!$F$14:$F$68,RAB!$C$14:$C$68,C1061)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SUMIFS(RAB!$F$14:$F$68,RAB!$C$14:$C$68,C1062)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SUMIFS(RAB!$F$14:$F$68,RAB!$C$14:$C$68,C1063)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SUMIFS(RAB!$F$14:$F$68,RAB!$C$14:$C$68,C1064)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SUMIFS(RAB!$F$14:$F$68,RAB!$C$14:$C$68,C1065)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SUMIFS(RAB!$F$14:$F$68,RAB!$C$14:$C$68,C1066)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SUMIFS(RAB!$F$14:$F$68,RAB!$C$14:$C$68,C1067)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SUMIFS(RAB!$F$14:$F$68,RAB!$C$14:$C$68,C1068)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SUMIFS(RAB!$F$14:$F$68,RAB!$C$14:$C$68,C1069)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SUMIFS(RAB!$F$14:$F$68,RAB!$C$14:$C$68,C1070)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SUMIFS(RAB!$F$14:$F$68,RAB!$C$14:$C$68,C1071)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SUMIFS(RAB!$F$14:$F$68,RAB!$C$14:$C$68,C1072)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SUMIFS(RAB!$F$14:$F$68,RAB!$C$14:$C$68,C1073)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SUMIFS(RAB!$F$14:$F$68,RAB!$C$14:$C$68,C1074)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SUMIFS(RAB!$F$14:$F$68,RAB!$C$14:$C$68,C1075)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SUMIFS(RAB!$F$14:$F$68,RAB!$C$14:$C$68,C1076)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SUMIFS(RAB!$F$14:$F$68,RAB!$C$14:$C$68,C1077)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SUMIFS(RAB!$F$14:$F$68,RAB!$C$14:$C$68,C1078)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SUMIFS(RAB!$F$14:$F$68,RAB!$C$14:$C$68,C1079)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SUMIFS(RAB!$F$14:$F$68,RAB!$C$14:$C$68,C1080)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SUMIFS(RAB!$F$14:$F$68,RAB!$C$14:$C$68,C1081)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SUMIFS(RAB!$F$14:$F$68,RAB!$C$14:$C$68,C1082)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SUMIFS(RAB!$F$14:$F$68,RAB!$C$14:$C$68,C1083)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SUMIFS(RAB!$F$14:$F$68,RAB!$C$14:$C$68,C1084)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SUMIFS(RAB!$F$14:$F$68,RAB!$C$14:$C$68,C1085)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SUMIFS(RAB!$F$14:$F$68,RAB!$C$14:$C$68,C1086)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SUMIFS(RAB!$F$14:$F$68,RAB!$C$14:$C$68,C1087)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SUMIFS(RAB!$F$14:$F$68,RAB!$C$14:$C$68,C1088)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SUMIFS(RAB!$F$14:$F$68,RAB!$C$14:$C$68,C1089)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SUMIFS(RAB!$F$14:$F$68,RAB!$C$14:$C$68,C1090)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SUMIFS(RAB!$F$14:$F$68,RAB!$C$14:$C$68,C1091)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SUMIFS(RAB!$F$14:$F$68,RAB!$C$14:$C$68,C1092)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SUMIFS(RAB!$F$14:$F$68,RAB!$C$14:$C$68,C1093)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SUMIFS(RAB!$F$14:$F$68,RAB!$C$14:$C$68,C1094)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SUMIFS(RAB!$F$14:$F$68,RAB!$C$14:$C$68,C1095)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SUMIFS(RAB!$F$14:$F$68,RAB!$C$14:$C$68,C1096)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SUMIFS(RAB!$F$14:$F$68,RAB!$C$14:$C$68,C1097)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SUMIFS(RAB!$F$14:$F$68,RAB!$C$14:$C$68,C1098)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SUMIFS(RAB!$F$14:$F$68,RAB!$C$14:$C$68,C1099)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SUMIFS(RAB!$F$14:$F$68,RAB!$C$14:$C$68,C1100)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SUMIFS(RAB!$F$14:$F$68,RAB!$C$14:$C$68,C1101)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SUMIFS(RAB!$F$14:$F$68,RAB!$C$14:$C$68,C1102)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SUMIFS(RAB!$F$14:$F$68,RAB!$C$14:$C$68,C1103)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SUMIFS(RAB!$F$14:$F$68,RAB!$C$14:$C$68,C1104)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SUMIFS(RAB!$F$14:$F$68,RAB!$C$14:$C$68,C1105)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SUMIFS(RAB!$F$14:$F$68,RAB!$C$14:$C$68,C1106)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SUMIFS(RAB!$F$14:$F$68,RAB!$C$14:$C$68,C1107)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SUMIFS(RAB!$F$14:$F$68,RAB!$C$14:$C$68,C1108)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SUMIFS(RAB!$F$14:$F$68,RAB!$C$14:$C$68,C1109)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SUMIFS(RAB!$F$14:$F$68,RAB!$C$14:$C$68,C1110)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SUMIFS(RAB!$F$14:$F$68,RAB!$C$14:$C$68,C1111)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SUMIFS(RAB!$F$14:$F$68,RAB!$C$14:$C$68,C1112)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SUMIFS(RAB!$F$14:$F$68,RAB!$C$14:$C$68,C1113)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SUMIFS(RAB!$F$14:$F$68,RAB!$C$14:$C$68,C1114)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SUMIFS(RAB!$F$14:$F$68,RAB!$C$14:$C$68,C1115)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SUMIFS(RAB!$F$14:$F$68,RAB!$C$14:$C$68,C1116)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SUMIFS(RAB!$F$14:$F$68,RAB!$C$14:$C$68,C1117)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SUMIFS(RAB!$F$14:$F$68,RAB!$C$14:$C$68,C1118)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SUMIFS(RAB!$F$14:$F$68,RAB!$C$14:$C$68,C1119)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SUMIFS(RAB!$F$14:$F$68,RAB!$C$14:$C$68,C1120)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SUMIFS(RAB!$F$14:$F$68,RAB!$C$14:$C$68,C1121)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SUMIFS(RAB!$F$14:$F$68,RAB!$C$14:$C$68,C1122)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SUMIFS(RAB!$F$14:$F$68,RAB!$C$14:$C$68,C1123)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SUMIFS(RAB!$F$14:$F$68,RAB!$C$14:$C$68,C1124)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SUMIFS(RAB!$F$14:$F$68,RAB!$C$14:$C$68,C1125)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SUMIFS(RAB!$F$14:$F$68,RAB!$C$14:$C$68,C1126)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SUMIFS(RAB!$F$14:$F$68,RAB!$C$14:$C$68,C1127)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SUMIFS(RAB!$F$14:$F$68,RAB!$C$14:$C$68,C1128)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SUMIFS(RAB!$F$14:$F$68,RAB!$C$14:$C$68,C1129)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SUMIFS(RAB!$F$14:$F$68,RAB!$C$14:$C$68,C1130)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SUMIFS(RAB!$F$14:$F$68,RAB!$C$14:$C$68,C1131)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SUMIFS(RAB!$F$14:$F$68,RAB!$C$14:$C$68,C1132)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SUMIFS(RAB!$F$14:$F$68,RAB!$C$14:$C$68,C1133)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SUMIFS(RAB!$F$14:$F$68,RAB!$C$14:$C$68,C1134)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SUMIFS(RAB!$F$14:$F$68,RAB!$C$14:$C$68,C1135)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SUMIFS(RAB!$F$14:$F$68,RAB!$C$14:$C$68,C1136)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SUMIFS(RAB!$F$14:$F$68,RAB!$C$14:$C$68,C1137)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SUMIFS(RAB!$F$14:$F$68,RAB!$C$14:$C$68,C1138)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SUMIFS(RAB!$F$14:$F$68,RAB!$C$14:$C$68,C1139)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SUMIFS(RAB!$F$14:$F$68,RAB!$C$14:$C$68,C1140)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SUMIFS(RAB!$F$14:$F$68,RAB!$C$14:$C$68,C1141)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SUMIFS(RAB!$F$14:$F$68,RAB!$C$14:$C$68,C1142)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SUMIFS(RAB!$F$14:$F$68,RAB!$C$14:$C$68,C1143)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SUMIFS(RAB!$F$14:$F$68,RAB!$C$14:$C$68,C1144)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SUMIFS(RAB!$F$14:$F$68,RAB!$C$14:$C$68,C1145)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SUMIFS(RAB!$F$14:$F$68,RAB!$C$14:$C$68,C1146)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SUMIFS(RAB!$F$14:$F$68,RAB!$C$14:$C$68,C1147)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SUMIFS(RAB!$F$14:$F$68,RAB!$C$14:$C$68,C1148)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SUMIFS(RAB!$F$14:$F$68,RAB!$C$14:$C$68,C1149)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SUMIFS(RAB!$F$14:$F$68,RAB!$C$14:$C$68,C1150)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SUMIFS(RAB!$F$14:$F$68,RAB!$C$14:$C$68,C1151)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SUMIFS(RAB!$F$14:$F$68,RAB!$C$14:$C$68,C1152)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SUMIFS(RAB!$F$14:$F$68,RAB!$C$14:$C$68,C1153)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SUMIFS(RAB!$F$14:$F$68,RAB!$C$14:$C$68,C1154)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SUMIFS(RAB!$F$14:$F$68,RAB!$C$14:$C$68,C1155)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SUMIFS(RAB!$F$14:$F$68,RAB!$C$14:$C$68,C1156)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SUMIFS(RAB!$F$14:$F$68,RAB!$C$14:$C$68,C1157)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SUMIFS(RAB!$F$14:$F$68,RAB!$C$14:$C$68,C1158)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SUMIFS(RAB!$F$14:$F$68,RAB!$C$14:$C$68,C1159)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SUMIFS(RAB!$F$14:$F$68,RAB!$C$14:$C$68,C1160)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SUMIFS(RAB!$F$14:$F$68,RAB!$C$14:$C$68,C1161)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SUMIFS(RAB!$F$14:$F$68,RAB!$C$14:$C$68,C1162)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SUMIFS(RAB!$F$14:$F$68,RAB!$C$14:$C$68,C1163)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SUMIFS(RAB!$F$14:$F$68,RAB!$C$14:$C$68,C1164)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SUMIFS(RAB!$F$14:$F$68,RAB!$C$14:$C$68,C1165)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SUMIFS(RAB!$F$14:$F$68,RAB!$C$14:$C$68,C1166)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SUMIFS(RAB!$F$14:$F$68,RAB!$C$14:$C$68,C1167)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SUMIFS(RAB!$F$14:$F$68,RAB!$C$14:$C$68,C1168)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SUMIFS(RAB!$F$14:$F$68,RAB!$C$14:$C$68,C1169)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SUMIFS(RAB!$F$14:$F$68,RAB!$C$14:$C$68,C1170)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SUMIFS(RAB!$F$14:$F$68,RAB!$C$14:$C$68,C1171)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SUMIFS(RAB!$F$14:$F$68,RAB!$C$14:$C$68,C1172)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SUMIFS(RAB!$F$14:$F$68,RAB!$C$14:$C$68,C1173)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SUMIFS(RAB!$F$14:$F$68,RAB!$C$14:$C$68,C1174)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SUMIFS(RAB!$F$14:$F$68,RAB!$C$14:$C$68,C1175)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SUMIFS(RAB!$F$14:$F$68,RAB!$C$14:$C$68,C1176)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SUMIFS(RAB!$F$14:$F$68,RAB!$C$14:$C$68,C1177)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SUMIFS(RAB!$F$14:$F$68,RAB!$C$14:$C$68,C1178)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SUMIFS(RAB!$F$14:$F$68,RAB!$C$14:$C$68,C1179)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SUMIFS(RAB!$F$14:$F$68,RAB!$C$14:$C$68,C1180)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SUMIFS(RAB!$F$14:$F$68,RAB!$C$14:$C$68,C1181)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SUMIFS(RAB!$F$14:$F$68,RAB!$C$14:$C$68,C1182)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SUMIFS(RAB!$F$14:$F$68,RAB!$C$14:$C$68,C1183)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SUMIFS(RAB!$F$14:$F$68,RAB!$C$14:$C$68,C1184)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SUMIFS(RAB!$F$14:$F$68,RAB!$C$14:$C$68,C1185)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SUMIFS(RAB!$F$14:$F$68,RAB!$C$14:$C$68,C1186)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SUMIFS(RAB!$F$14:$F$68,RAB!$C$14:$C$68,C1187)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SUMIFS(RAB!$F$14:$F$68,RAB!$C$14:$C$68,C1188)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SUMIFS(RAB!$F$14:$F$68,RAB!$C$14:$C$68,C1189)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SUMIFS(RAB!$F$14:$F$68,RAB!$C$14:$C$68,C1190)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SUMIFS(RAB!$F$14:$F$68,RAB!$C$14:$C$68,C1191)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SUMIFS(RAB!$F$14:$F$68,RAB!$C$14:$C$68,C1192)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SUMIFS(RAB!$F$14:$F$68,RAB!$C$14:$C$68,C1193)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SUMIFS(RAB!$F$14:$F$68,RAB!$C$14:$C$68,C1194)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SUMIFS(RAB!$F$14:$F$68,RAB!$C$14:$C$68,C1195)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SUMIFS(RAB!$F$14:$F$68,RAB!$C$14:$C$68,C1196)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SUMIFS(RAB!$F$14:$F$68,RAB!$C$14:$C$68,C1197)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SUMIFS(RAB!$F$14:$F$68,RAB!$C$14:$C$68,C1198)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SUMIFS(RAB!$F$14:$F$68,RAB!$C$14:$C$68,C1199)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SUMIFS(RAB!$F$14:$F$68,RAB!$C$14:$C$68,C1200)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SUMIFS(RAB!$F$14:$F$68,RAB!$C$14:$C$68,C1201)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SUMIFS(RAB!$F$14:$F$68,RAB!$C$14:$C$68,C1202)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SUMIFS(RAB!$F$14:$F$68,RAB!$C$14:$C$68,C1203)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SUMIFS(RAB!$F$14:$F$68,RAB!$C$14:$C$68,C1204)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SUMIFS(RAB!$F$14:$F$68,RAB!$C$14:$C$68,C1205)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SUMIFS(RAB!$F$14:$F$68,RAB!$C$14:$C$68,C1206)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SUMIFS(RAB!$F$14:$F$68,RAB!$C$14:$C$68,C1207)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SUMIFS(RAB!$F$14:$F$68,RAB!$C$14:$C$68,C1208)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SUMIFS(RAB!$F$14:$F$68,RAB!$C$14:$C$68,C1209)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SUMIFS(RAB!$F$14:$F$68,RAB!$C$14:$C$68,C1210)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SUMIFS(RAB!$F$14:$F$68,RAB!$C$14:$C$68,C1211)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SUMIFS(RAB!$F$14:$F$68,RAB!$C$14:$C$68,C1212)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SUMIFS(RAB!$F$14:$F$68,RAB!$C$14:$C$68,C1213)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SUMIFS(RAB!$F$14:$F$68,RAB!$C$14:$C$68,C1214)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SUMIFS(RAB!$F$14:$F$68,RAB!$C$14:$C$68,C1215)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SUMIFS(RAB!$F$14:$F$68,RAB!$C$14:$C$68,C1216)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SUMIFS(RAB!$F$14:$F$68,RAB!$C$14:$C$68,C1217)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SUMIFS(RAB!$F$14:$F$68,RAB!$C$14:$C$68,C1218)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SUMIFS(RAB!$F$14:$F$68,RAB!$C$14:$C$68,C1219)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SUMIFS(RAB!$F$14:$F$68,RAB!$C$14:$C$68,C1220)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SUMIFS(RAB!$F$14:$F$68,RAB!$C$14:$C$68,C1221)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SUMIFS(RAB!$F$14:$F$68,RAB!$C$14:$C$68,C1222)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SUMIFS(RAB!$F$14:$F$68,RAB!$C$14:$C$68,C1223)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SUMIFS(RAB!$F$14:$F$68,RAB!$C$14:$C$68,C1224)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SUMIFS(RAB!$F$14:$F$68,RAB!$C$14:$C$68,C1225)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SUMIFS(RAB!$F$14:$F$68,RAB!$C$14:$C$68,C1226)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SUMIFS(RAB!$F$14:$F$68,RAB!$C$14:$C$68,C1227)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SUMIFS(RAB!$F$14:$F$68,RAB!$C$14:$C$68,C1228)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SUMIFS(RAB!$F$14:$F$68,RAB!$C$14:$C$68,C1229)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SUMIFS(RAB!$F$14:$F$68,RAB!$C$14:$C$68,C1230)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SUMIFS(RAB!$F$14:$F$68,RAB!$C$14:$C$68,C1231)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SUMIFS(RAB!$F$14:$F$68,RAB!$C$14:$C$68,C1232)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SUMIFS(RAB!$F$14:$F$68,RAB!$C$14:$C$68,C1233)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SUMIFS(RAB!$F$14:$F$68,RAB!$C$14:$C$68,C1234)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SUMIFS(RAB!$F$14:$F$68,RAB!$C$14:$C$68,C1235)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SUMIFS(RAB!$F$14:$F$68,RAB!$C$14:$C$68,C1236)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SUMIFS(RAB!$F$14:$F$68,RAB!$C$14:$C$68,C1237)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SUMIFS(RAB!$F$14:$F$68,RAB!$C$14:$C$68,C1238)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SUMIFS(RAB!$F$14:$F$68,RAB!$C$14:$C$68,C1239)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SUMIFS(RAB!$F$14:$F$68,RAB!$C$14:$C$68,C1240)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SUMIFS(RAB!$F$14:$F$68,RAB!$C$14:$C$68,C1241)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SUMIFS(RAB!$F$14:$F$68,RAB!$C$14:$C$68,C1242)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SUMIFS(RAB!$F$14:$F$68,RAB!$C$14:$C$68,C1243)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SUMIFS(RAB!$F$14:$F$68,RAB!$C$14:$C$68,C1244)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SUMIFS(RAB!$F$14:$F$68,RAB!$C$14:$C$68,C1245)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SUMIFS(RAB!$F$14:$F$68,RAB!$C$14:$C$68,C1246)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SUMIFS(RAB!$F$14:$F$68,RAB!$C$14:$C$68,C1247)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SUMIFS(RAB!$F$14:$F$68,RAB!$C$14:$C$68,C1248)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SUMIFS(RAB!$F$14:$F$68,RAB!$C$14:$C$68,C1249)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SUMIFS(RAB!$F$14:$F$68,RAB!$C$14:$C$68,C1250)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SUMIFS(RAB!$F$14:$F$68,RAB!$C$14:$C$68,C1251)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SUMIFS(RAB!$F$14:$F$68,RAB!$C$14:$C$68,C1252)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SUMIFS(RAB!$F$14:$F$68,RAB!$C$14:$C$68,C1253)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SUMIFS(RAB!$F$14:$F$68,RAB!$C$14:$C$68,C1254)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SUMIFS(RAB!$F$14:$F$68,RAB!$C$14:$C$68,C1255)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SUMIFS(RAB!$F$14:$F$68,RAB!$C$14:$C$68,C1256)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SUMIFS(RAB!$F$14:$F$68,RAB!$C$14:$C$68,C1257)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SUMIFS(RAB!$F$14:$F$68,RAB!$C$14:$C$68,C1258)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SUMIFS(RAB!$F$14:$F$68,RAB!$C$14:$C$68,C1259)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SUMIFS(RAB!$F$14:$F$68,RAB!$C$14:$C$68,C1260)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SUMIFS(RAB!$F$14:$F$68,RAB!$C$14:$C$68,C1261)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SUMIFS(RAB!$F$14:$F$68,RAB!$C$14:$C$68,C1262)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SUMIFS(RAB!$F$14:$F$68,RAB!$C$14:$C$68,C1263)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SUMIFS(RAB!$F$14:$F$68,RAB!$C$14:$C$68,C1264)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SUMIFS(RAB!$F$14:$F$68,RAB!$C$14:$C$68,C1265)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SUMIFS(RAB!$F$14:$F$68,RAB!$C$14:$C$68,C1266)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SUMIFS(RAB!$F$14:$F$68,RAB!$C$14:$C$68,C1267)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SUMIFS(RAB!$F$14:$F$68,RAB!$C$14:$C$68,C1268)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SUMIFS(RAB!$F$14:$F$68,RAB!$C$14:$C$68,C1269)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SUMIFS(RAB!$F$14:$F$68,RAB!$C$14:$C$68,C1270)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SUMIFS(RAB!$F$14:$F$68,RAB!$C$14:$C$68,C1271)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SUMIFS(RAB!$F$14:$F$68,RAB!$C$14:$C$68,C1272)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SUMIFS(RAB!$F$14:$F$68,RAB!$C$14:$C$68,C1273)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SUMIFS(RAB!$F$14:$F$68,RAB!$C$14:$C$68,C1274)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SUMIFS(RAB!$F$14:$F$68,RAB!$C$14:$C$68,C1275)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SUMIFS(RAB!$F$14:$F$68,RAB!$C$14:$C$68,C1276)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SUMIFS(RAB!$F$14:$F$68,RAB!$C$14:$C$68,C1277)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SUMIFS(RAB!$F$14:$F$68,RAB!$C$14:$C$68,C1278)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SUMIFS(RAB!$F$14:$F$68,RAB!$C$14:$C$68,C1279)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SUMIFS(RAB!$F$14:$F$68,RAB!$C$14:$C$68,C1280)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SUMIFS(RAB!$F$14:$F$68,RAB!$C$14:$C$68,C1281)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SUMIFS(RAB!$F$14:$F$68,RAB!$C$14:$C$68,C1282)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SUMIFS(RAB!$F$14:$F$68,RAB!$C$14:$C$68,C1283)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SUMIFS(RAB!$F$14:$F$68,RAB!$C$14:$C$68,C1284)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SUMIFS(RAB!$F$14:$F$68,RAB!$C$14:$C$68,C1285)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SUMIFS(RAB!$F$14:$F$68,RAB!$C$14:$C$68,C1286)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SUMIFS(RAB!$F$14:$F$68,RAB!$C$14:$C$68,C1287)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SUMIFS(RAB!$F$14:$F$68,RAB!$C$14:$C$68,C1288)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SUMIFS(RAB!$F$14:$F$68,RAB!$C$14:$C$68,C1289)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SUMIFS(RAB!$F$14:$F$68,RAB!$C$14:$C$68,C1290)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SUMIFS(RAB!$F$14:$F$68,RAB!$C$14:$C$68,C1291)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SUMIFS(RAB!$F$14:$F$68,RAB!$C$14:$C$68,C1292)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SUMIFS(RAB!$F$14:$F$68,RAB!$C$14:$C$68,C1293)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SUMIFS(RAB!$F$14:$F$68,RAB!$C$14:$C$68,C1294)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SUMIFS(RAB!$F$14:$F$68,RAB!$C$14:$C$68,C1295)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SUMIFS(RAB!$F$14:$F$68,RAB!$C$14:$C$68,C1296)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SUMIFS(RAB!$F$14:$F$68,RAB!$C$14:$C$68,C1297)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SUMIFS(RAB!$F$14:$F$68,RAB!$C$14:$C$68,C1298)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SUMIFS(RAB!$F$14:$F$68,RAB!$C$14:$C$68,C1299)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SUMIFS(RAB!$F$14:$F$68,RAB!$C$14:$C$68,C1300)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SUMIFS(RAB!$F$14:$F$68,RAB!$C$14:$C$68,C1301)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SUMIFS(RAB!$F$14:$F$68,RAB!$C$14:$C$68,C1302)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SUMIFS(RAB!$F$14:$F$68,RAB!$C$14:$C$68,C1303)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SUMIFS(RAB!$F$14:$F$68,RAB!$C$14:$C$68,C1304)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SUMIFS(RAB!$F$14:$F$68,RAB!$C$14:$C$68,C1305)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SUMIFS(RAB!$F$14:$F$68,RAB!$C$14:$C$68,C1306)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SUMIFS(RAB!$F$14:$F$68,RAB!$C$14:$C$68,C1307)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SUMIFS(RAB!$F$14:$F$68,RAB!$C$14:$C$68,C1308)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SUMIFS(RAB!$F$14:$F$68,RAB!$C$14:$C$68,C1309)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SUMIFS(RAB!$F$14:$F$68,RAB!$C$14:$C$68,C1310)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SUMIFS(RAB!$F$14:$F$68,RAB!$C$14:$C$68,C1311)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SUMIFS(RAB!$F$14:$F$68,RAB!$C$14:$C$68,C1312)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SUMIFS(RAB!$F$14:$F$68,RAB!$C$14:$C$68,C1313)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SUMIFS(RAB!$F$14:$F$68,RAB!$C$14:$C$68,C1314)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SUMIFS(RAB!$F$14:$F$68,RAB!$C$14:$C$68,C1315)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SUMIFS(RAB!$F$14:$F$68,RAB!$C$14:$C$68,C1316)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SUMIFS(RAB!$F$14:$F$68,RAB!$C$14:$C$68,C1317)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SUMIFS(RAB!$F$14:$F$68,RAB!$C$14:$C$68,C1318)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SUMIFS(RAB!$F$14:$F$68,RAB!$C$14:$C$68,C1319)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SUMIFS(RAB!$F$14:$F$68,RAB!$C$14:$C$68,C1320)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E1:E3 E712:E713 H10:H11 H7 E1321:E65536 G712:G65536 E6:E11 G1:G11 F10:F711">
    <cfRule type="cellIs" dxfId="142" priority="69" stopIfTrue="1" operator="equal">
      <formula>0</formula>
    </cfRule>
  </conditionalFormatting>
  <conditionalFormatting sqref="A8:G9 F11:H11 A10:H10 B12 A1:J7 A712:H713 A1321:H65536 G714:H1320 M1:IV1048576 A714:D1320 F12:F711">
    <cfRule type="cellIs" dxfId="141" priority="68" operator="equal">
      <formula>0</formula>
    </cfRule>
  </conditionalFormatting>
  <conditionalFormatting sqref="A11:E11 A12:B12 A13:A711">
    <cfRule type="cellIs" dxfId="140" priority="67" operator="equal">
      <formula>0</formula>
    </cfRule>
  </conditionalFormatting>
  <conditionalFormatting sqref="H12:H711">
    <cfRule type="cellIs" dxfId="139" priority="49" operator="equal">
      <formula>0</formula>
    </cfRule>
  </conditionalFormatting>
  <conditionalFormatting sqref="C12:C711">
    <cfRule type="cellIs" dxfId="138" priority="66" stopIfTrue="1" operator="equal">
      <formula>0</formula>
    </cfRule>
  </conditionalFormatting>
  <conditionalFormatting sqref="C12:C711">
    <cfRule type="cellIs" dxfId="137" priority="65" operator="equal">
      <formula>0</formula>
    </cfRule>
  </conditionalFormatting>
  <conditionalFormatting sqref="H12:H711">
    <cfRule type="cellIs" dxfId="136" priority="50" stopIfTrue="1" operator="equal">
      <formula>0</formula>
    </cfRule>
  </conditionalFormatting>
  <conditionalFormatting sqref="B13:B711">
    <cfRule type="cellIs" dxfId="135" priority="46" operator="equal">
      <formula>0</formula>
    </cfRule>
  </conditionalFormatting>
  <conditionalFormatting sqref="D711:E711 B13:B711">
    <cfRule type="cellIs" dxfId="134" priority="45" operator="equal">
      <formula>0</formula>
    </cfRule>
  </conditionalFormatting>
  <conditionalFormatting sqref="I10:I11 I7">
    <cfRule type="cellIs" dxfId="133" priority="28" stopIfTrue="1" operator="equal">
      <formula>0</formula>
    </cfRule>
  </conditionalFormatting>
  <conditionalFormatting sqref="I712:I65536 I10:I11">
    <cfRule type="cellIs" dxfId="132" priority="27" operator="equal">
      <formula>0</formula>
    </cfRule>
  </conditionalFormatting>
  <conditionalFormatting sqref="I12:I711">
    <cfRule type="cellIs" dxfId="131" priority="25" operator="equal">
      <formula>0</formula>
    </cfRule>
  </conditionalFormatting>
  <conditionalFormatting sqref="I12:I711">
    <cfRule type="cellIs" dxfId="130" priority="26" stopIfTrue="1" operator="equal">
      <formula>0</formula>
    </cfRule>
  </conditionalFormatting>
  <conditionalFormatting sqref="J10:J11 J7">
    <cfRule type="cellIs" dxfId="129" priority="22" stopIfTrue="1" operator="equal">
      <formula>0</formula>
    </cfRule>
  </conditionalFormatting>
  <conditionalFormatting sqref="J712:J65536 J10:J11">
    <cfRule type="cellIs" dxfId="128" priority="21" operator="equal">
      <formula>0</formula>
    </cfRule>
  </conditionalFormatting>
  <conditionalFormatting sqref="J12:J711">
    <cfRule type="cellIs" dxfId="127" priority="19" operator="equal">
      <formula>0</formula>
    </cfRule>
  </conditionalFormatting>
  <conditionalFormatting sqref="J12:J711">
    <cfRule type="cellIs" dxfId="126" priority="20" stopIfTrue="1" operator="equal">
      <formula>0</formula>
    </cfRule>
  </conditionalFormatting>
  <conditionalFormatting sqref="E714:E1320">
    <cfRule type="cellIs" dxfId="125" priority="16" stopIfTrue="1" operator="equal">
      <formula>0</formula>
    </cfRule>
  </conditionalFormatting>
  <conditionalFormatting sqref="E714:F1320">
    <cfRule type="cellIs" dxfId="124" priority="15" operator="equal">
      <formula>0</formula>
    </cfRule>
  </conditionalFormatting>
  <conditionalFormatting sqref="D12:E710">
    <cfRule type="cellIs" dxfId="123" priority="14" operator="equal">
      <formula>0</formula>
    </cfRule>
  </conditionalFormatting>
  <conditionalFormatting sqref="G12:G711">
    <cfRule type="cellIs" dxfId="122" priority="12" stopIfTrue="1" operator="equal">
      <formula>0</formula>
    </cfRule>
  </conditionalFormatting>
  <conditionalFormatting sqref="G12:G711">
    <cfRule type="cellIs" dxfId="121" priority="11" operator="equal">
      <formula>0</formula>
    </cfRule>
  </conditionalFormatting>
  <conditionalFormatting sqref="L1:L6">
    <cfRule type="cellIs" dxfId="120" priority="10" operator="equal">
      <formula>0</formula>
    </cfRule>
  </conditionalFormatting>
  <conditionalFormatting sqref="L10:L11">
    <cfRule type="cellIs" dxfId="119" priority="9" stopIfTrue="1" operator="equal">
      <formula>0</formula>
    </cfRule>
  </conditionalFormatting>
  <conditionalFormatting sqref="L712:L65536 L10:L11">
    <cfRule type="cellIs" dxfId="118" priority="8" operator="equal">
      <formula>0</formula>
    </cfRule>
  </conditionalFormatting>
  <conditionalFormatting sqref="L12:L711">
    <cfRule type="cellIs" dxfId="117" priority="6" operator="equal">
      <formula>0</formula>
    </cfRule>
  </conditionalFormatting>
  <conditionalFormatting sqref="L12:L711">
    <cfRule type="cellIs" dxfId="116" priority="7" stopIfTrue="1" operator="equal">
      <formula>0</formula>
    </cfRule>
  </conditionalFormatting>
  <conditionalFormatting sqref="K1:K7">
    <cfRule type="cellIs" dxfId="115" priority="5" operator="equal">
      <formula>0</formula>
    </cfRule>
  </conditionalFormatting>
  <conditionalFormatting sqref="K10:K11 K7">
    <cfRule type="cellIs" dxfId="114" priority="4" stopIfTrue="1" operator="equal">
      <formula>0</formula>
    </cfRule>
  </conditionalFormatting>
  <conditionalFormatting sqref="K712:K65536 K10:K11">
    <cfRule type="cellIs" dxfId="113" priority="3" operator="equal">
      <formula>0</formula>
    </cfRule>
  </conditionalFormatting>
  <conditionalFormatting sqref="K12:K711">
    <cfRule type="cellIs" dxfId="112" priority="1" operator="equal">
      <formula>0</formula>
    </cfRule>
  </conditionalFormatting>
  <conditionalFormatting sqref="K12:K711">
    <cfRule type="cellIs" dxfId="111" priority="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5" t="s">
        <v>1127</v>
      </c>
      <c r="C4" s="525"/>
      <c r="D4" s="525"/>
      <c r="E4" s="525"/>
      <c r="F4" s="525"/>
      <c r="G4" s="525"/>
      <c r="H4" s="525"/>
      <c r="I4" s="525"/>
      <c r="J4" s="525"/>
      <c r="K4" s="52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9" t="str">
        <f>RAB!G6</f>
        <v>DPU-POMPA AIR LOIRENG</v>
      </c>
      <c r="H6" s="549"/>
      <c r="I6" s="549"/>
      <c r="J6" s="549"/>
      <c r="K6" s="54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LOIRENG KEC.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6" t="s">
        <v>0</v>
      </c>
      <c r="C11" s="528" t="s">
        <v>1</v>
      </c>
      <c r="D11" s="531" t="s">
        <v>42</v>
      </c>
      <c r="E11" s="531" t="s">
        <v>43</v>
      </c>
      <c r="F11" s="531" t="s">
        <v>2</v>
      </c>
      <c r="G11" s="533" t="s">
        <v>41</v>
      </c>
      <c r="H11" s="531" t="s">
        <v>3</v>
      </c>
      <c r="I11" s="531"/>
      <c r="J11" s="531"/>
      <c r="K11" s="536"/>
      <c r="M11" s="33"/>
      <c r="N11" s="33"/>
      <c r="O11" s="33"/>
      <c r="P11" s="33"/>
      <c r="R11" s="34"/>
      <c r="S11" s="74"/>
      <c r="T11" s="74"/>
    </row>
    <row r="12" spans="1:21" ht="15" customHeight="1">
      <c r="B12" s="527"/>
      <c r="C12" s="529"/>
      <c r="D12" s="532"/>
      <c r="E12" s="532"/>
      <c r="F12" s="532"/>
      <c r="G12" s="534"/>
      <c r="H12" s="540" t="s">
        <v>46</v>
      </c>
      <c r="I12" s="540" t="s">
        <v>5</v>
      </c>
      <c r="J12" s="532" t="s">
        <v>47</v>
      </c>
      <c r="K12" s="53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7"/>
      <c r="C13" s="530"/>
      <c r="D13" s="532"/>
      <c r="E13" s="532"/>
      <c r="F13" s="532"/>
      <c r="G13" s="535"/>
      <c r="H13" s="541"/>
      <c r="I13" s="541"/>
      <c r="J13" s="532"/>
      <c r="K13" s="53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0" t="s">
        <v>1008</v>
      </c>
      <c r="D38" s="550"/>
      <c r="E38" s="550"/>
      <c r="F38" s="550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51" t="s">
        <v>462</v>
      </c>
      <c r="D39" s="551"/>
      <c r="E39" s="551"/>
      <c r="F39" s="551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2" t="s">
        <v>463</v>
      </c>
      <c r="D40" s="542"/>
      <c r="E40" s="542"/>
      <c r="F40" s="542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43" t="e">
        <f ca="1">"Terbilang : ( "&amp;L42&amp;" Rupiah )"</f>
        <v>#NAME?</v>
      </c>
      <c r="C41" s="544"/>
      <c r="D41" s="544"/>
      <c r="E41" s="544"/>
      <c r="F41" s="544"/>
      <c r="G41" s="544"/>
      <c r="H41" s="544"/>
      <c r="I41" s="544"/>
      <c r="J41" s="544"/>
      <c r="K41" s="545"/>
      <c r="L41" s="44"/>
      <c r="R41" s="58"/>
      <c r="S41" s="58"/>
      <c r="T41" s="58"/>
    </row>
    <row r="42" spans="1:20" s="36" customFormat="1">
      <c r="A42" s="30"/>
      <c r="B42" s="546"/>
      <c r="C42" s="547"/>
      <c r="D42" s="547"/>
      <c r="E42" s="547"/>
      <c r="F42" s="547"/>
      <c r="G42" s="547"/>
      <c r="H42" s="547"/>
      <c r="I42" s="547"/>
      <c r="J42" s="547"/>
      <c r="K42" s="548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7"/>
      <c r="I45" s="537"/>
      <c r="J45" s="538"/>
      <c r="K45" s="538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7"/>
      <c r="I46" s="537"/>
      <c r="J46" s="538"/>
      <c r="K46" s="538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7"/>
      <c r="I47" s="537"/>
      <c r="J47" s="538"/>
      <c r="K47" s="538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7"/>
      <c r="I52" s="537"/>
      <c r="J52" s="538"/>
      <c r="K52" s="538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SUMIFS(RAB!$F$14:$F$68,RAB!$C$14:$C$68,'REKAP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SUMIFS(RAB!$F$14:$F$68,RAB!$C$14:$C$68,'REKAP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SUMIFS(RAB!$F$14:$F$68,RAB!$C$14:$C$68,'REKAP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SUMIFS(RAB!$F$14:$F$68,RAB!$C$14:$C$68,'REKAP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SUMIFS(RAB!$F$14:$F$68,RAB!$C$14:$C$68,'REKAP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SUMIFS(RAB!$F$14:$F$68,RAB!$C$14:$C$68,'REKAP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SUMIFS(RAB!$F$14:$F$68,RAB!$C$14:$C$68,'REKAP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SUMIFS(RAB!$F$14:$F$68,RAB!$C$14:$C$68,'REKAP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SUMIFS(RAB!$F$14:$F$68,RAB!$C$14:$C$68,'REKAP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SUMIFS(RAB!$F$14:$F$68,RAB!$C$14:$C$68,'REKAP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SUMIFS(RAB!$F$14:$F$68,RAB!$C$14:$C$68,'REKAP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SUMIFS(RAB!$F$14:$F$68,RAB!$C$14:$C$68,'REKAP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SUMIFS(RAB!$F$14:$F$68,RAB!$C$14:$C$68,'REKAP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SUMIFS(RAB!$F$14:$F$68,RAB!$C$14:$C$68,'REKAP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SUMIFS(RAB!$F$14:$F$68,RAB!$C$14:$C$68,'REKAP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SUMIFS(RAB!$F$14:$F$68,RAB!$C$14:$C$68,'REKAP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SUMIFS(RAB!$F$14:$F$68,RAB!$C$14:$C$68,'REKAP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SUMIFS(RAB!$F$14:$F$68,RAB!$C$14:$C$68,'REKAP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SUMIFS(RAB!$F$14:$F$68,RAB!$C$14:$C$68,'REKAP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SUMIFS(RAB!$F$14:$F$68,RAB!$C$14:$C$68,'REKAP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E37:F37 H37:K37 F36:K36 N13 H12:I12 F14:F15 E1:E3 F17:F35 H14:K35 C16:C35 R14:T36 G37:G65536 E41:E65536 G1:G35 E6:E15">
    <cfRule type="cellIs" dxfId="110" priority="4" stopIfTrue="1" operator="equal">
      <formula>0</formula>
    </cfRule>
  </conditionalFormatting>
  <conditionalFormatting sqref="G7:IV9 G6 L6:IV6 A10:XFD65536 A6:E9 A1:XFD5">
    <cfRule type="cellIs" dxfId="109" priority="2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C16" sqref="C16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5" t="s">
        <v>1034</v>
      </c>
      <c r="C4" s="525"/>
      <c r="D4" s="525"/>
      <c r="E4" s="525"/>
      <c r="F4" s="525"/>
      <c r="G4" s="525"/>
      <c r="H4" s="525"/>
      <c r="I4" s="525"/>
      <c r="J4" s="525"/>
      <c r="K4" s="52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9" t="str">
        <f>RAB!G6</f>
        <v>DPU-POMPA AIR LOIRENG</v>
      </c>
      <c r="H6" s="549"/>
      <c r="I6" s="549"/>
      <c r="J6" s="549"/>
      <c r="K6" s="54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LOIRENG KEC.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6" t="s">
        <v>0</v>
      </c>
      <c r="C11" s="528" t="s">
        <v>1</v>
      </c>
      <c r="D11" s="531" t="s">
        <v>42</v>
      </c>
      <c r="E11" s="531" t="s">
        <v>43</v>
      </c>
      <c r="F11" s="531" t="s">
        <v>2</v>
      </c>
      <c r="G11" s="533" t="s">
        <v>41</v>
      </c>
      <c r="H11" s="531" t="s">
        <v>3</v>
      </c>
      <c r="I11" s="531"/>
      <c r="J11" s="531"/>
      <c r="K11" s="536"/>
      <c r="M11" s="33"/>
      <c r="N11" s="33"/>
      <c r="O11" s="33"/>
      <c r="P11" s="33"/>
      <c r="R11" s="34"/>
      <c r="S11" s="74"/>
      <c r="T11" s="74"/>
    </row>
    <row r="12" spans="1:21" ht="15" customHeight="1">
      <c r="B12" s="527"/>
      <c r="C12" s="529"/>
      <c r="D12" s="532"/>
      <c r="E12" s="532"/>
      <c r="F12" s="532"/>
      <c r="G12" s="534"/>
      <c r="H12" s="540" t="s">
        <v>46</v>
      </c>
      <c r="I12" s="540" t="s">
        <v>5</v>
      </c>
      <c r="J12" s="532" t="s">
        <v>47</v>
      </c>
      <c r="K12" s="53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7"/>
      <c r="C13" s="530"/>
      <c r="D13" s="532"/>
      <c r="E13" s="532"/>
      <c r="F13" s="532"/>
      <c r="G13" s="535"/>
      <c r="H13" s="541"/>
      <c r="I13" s="541"/>
      <c r="J13" s="532"/>
      <c r="K13" s="53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5(100) A; kls 1 termasuk modem 3G/4G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1740750</v>
      </c>
      <c r="H16" s="42">
        <f t="shared" ca="1" si="1"/>
        <v>1740750</v>
      </c>
      <c r="I16" s="42">
        <f t="shared" ca="1" si="2"/>
        <v>0</v>
      </c>
      <c r="J16" s="42">
        <f t="shared" ca="1" si="3"/>
        <v>0</v>
      </c>
      <c r="K16" s="43">
        <f t="shared" ca="1" si="0"/>
        <v>1740750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250</v>
      </c>
      <c r="G18" s="41">
        <f ca="1">IF(ISERROR(OFFSET('HARGA SATUAN'!$I$6,MATCH(C18,'HARGA SATUAN'!$C$7:$C$1492,0),0)),"",OFFSET('HARGA SATUAN'!$I$6,MATCH(C18,'HARGA SATUAN'!$C$7:$C$1492,0),0))</f>
        <v>54500</v>
      </c>
      <c r="H18" s="42">
        <f t="shared" ca="1" si="1"/>
        <v>13625000</v>
      </c>
      <c r="I18" s="42">
        <f t="shared" ca="1" si="2"/>
        <v>0</v>
      </c>
      <c r="J18" s="42">
        <f t="shared" ca="1" si="3"/>
        <v>0</v>
      </c>
      <c r="K18" s="43">
        <f t="shared" ca="1" si="0"/>
        <v>13625000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 2 x 16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35</v>
      </c>
      <c r="G19" s="41">
        <f ca="1">IF(ISERROR(OFFSET('HARGA SATUAN'!$I$6,MATCH(C19,'HARGA SATUAN'!$C$7:$C$1492,0),0)),"",OFFSET('HARGA SATUAN'!$I$6,MATCH(C19,'HARGA SATUAN'!$C$7:$C$1492,0),0))</f>
        <v>6600</v>
      </c>
      <c r="H19" s="42">
        <f t="shared" ca="1" si="1"/>
        <v>231000</v>
      </c>
      <c r="I19" s="42">
        <f t="shared" ca="1" si="2"/>
        <v>0</v>
      </c>
      <c r="J19" s="42">
        <f t="shared" ca="1" si="3"/>
        <v>0</v>
      </c>
      <c r="K19" s="43">
        <f t="shared" ca="1" si="0"/>
        <v>231000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0" t="s">
        <v>1008</v>
      </c>
      <c r="D168" s="550"/>
      <c r="E168" s="550"/>
      <c r="F168" s="550"/>
      <c r="G168" s="77" t="s">
        <v>9</v>
      </c>
      <c r="H168" s="55">
        <f ca="1">SUM(H14:H167)</f>
        <v>15635750</v>
      </c>
      <c r="I168" s="55">
        <f ca="1">SUM(I14:I167)</f>
        <v>0</v>
      </c>
      <c r="J168" s="55">
        <f ca="1">SUM(J14:J167)</f>
        <v>0</v>
      </c>
      <c r="K168" s="55">
        <f ca="1">SUM(K14:K167)</f>
        <v>15635750</v>
      </c>
      <c r="L168" s="44"/>
      <c r="R168" s="99"/>
      <c r="S168" s="99"/>
      <c r="T168" s="99"/>
    </row>
    <row r="169" spans="1:20" s="36" customFormat="1">
      <c r="A169" s="30"/>
      <c r="B169" s="56"/>
      <c r="C169" s="551" t="s">
        <v>462</v>
      </c>
      <c r="D169" s="551"/>
      <c r="E169" s="551"/>
      <c r="F169" s="551"/>
      <c r="G169" s="59" t="s">
        <v>9</v>
      </c>
      <c r="H169" s="60">
        <f ca="1">H168*0.1</f>
        <v>1563575</v>
      </c>
      <c r="I169" s="60">
        <f ca="1">I168*0.1</f>
        <v>0</v>
      </c>
      <c r="J169" s="60">
        <f ca="1">J168*0.1</f>
        <v>0</v>
      </c>
      <c r="K169" s="60">
        <f ca="1">K168*0.1</f>
        <v>1563575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2" t="s">
        <v>463</v>
      </c>
      <c r="D170" s="542"/>
      <c r="E170" s="542"/>
      <c r="F170" s="542"/>
      <c r="G170" s="61" t="s">
        <v>9</v>
      </c>
      <c r="H170" s="78">
        <f ca="1">SUM(H168:H169)</f>
        <v>17199325</v>
      </c>
      <c r="I170" s="78">
        <f ca="1">SUM(I168:I169)</f>
        <v>0</v>
      </c>
      <c r="J170" s="61">
        <f ca="1">SUM(J168:J169)</f>
        <v>0</v>
      </c>
      <c r="K170" s="61">
        <f ca="1">SUM(K168:K169)</f>
        <v>17199325</v>
      </c>
      <c r="L170" s="44"/>
      <c r="R170" s="99"/>
      <c r="S170" s="99"/>
      <c r="T170" s="99"/>
    </row>
    <row r="171" spans="1:20" s="36" customFormat="1">
      <c r="A171" s="30"/>
      <c r="B171" s="543" t="e">
        <f ca="1">"Terbilang : ( "&amp;L172&amp;" Rupiah )"</f>
        <v>#NAME?</v>
      </c>
      <c r="C171" s="544"/>
      <c r="D171" s="544"/>
      <c r="E171" s="544"/>
      <c r="F171" s="544"/>
      <c r="G171" s="544"/>
      <c r="H171" s="544"/>
      <c r="I171" s="544"/>
      <c r="J171" s="544"/>
      <c r="K171" s="545"/>
      <c r="L171" s="44"/>
      <c r="R171" s="58"/>
      <c r="S171" s="58"/>
      <c r="T171" s="58"/>
    </row>
    <row r="172" spans="1:20" s="36" customFormat="1">
      <c r="A172" s="30"/>
      <c r="B172" s="546"/>
      <c r="C172" s="547"/>
      <c r="D172" s="547"/>
      <c r="E172" s="547"/>
      <c r="F172" s="547"/>
      <c r="G172" s="547"/>
      <c r="H172" s="547"/>
      <c r="I172" s="547"/>
      <c r="J172" s="547"/>
      <c r="K172" s="548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7"/>
      <c r="I175" s="537"/>
      <c r="J175" s="538"/>
      <c r="K175" s="538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7"/>
      <c r="I176" s="537"/>
      <c r="J176" s="538"/>
      <c r="K176" s="538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7"/>
      <c r="I177" s="537"/>
      <c r="J177" s="538"/>
      <c r="K177" s="538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7"/>
      <c r="I182" s="537"/>
      <c r="J182" s="538"/>
      <c r="K182" s="538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SUMIFS(RAB!$F$14:$F$68,RAB!$C$14:$C$68,C224)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SUMIFS(RAB!$F$14:$F$68,RAB!$C$14:$C$68,C225)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SUMIFS(RAB!$F$14:$F$68,RAB!$C$14:$C$68,C226)</f>
        <v>1</v>
      </c>
      <c r="E226" s="24">
        <f t="shared" ca="1" si="21"/>
        <v>1</v>
      </c>
      <c r="F226" s="24">
        <f ca="1">IF(D226=0,0,SUM($E$223:E226))</f>
        <v>1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SUMIFS(RAB!$F$14:$F$68,RAB!$C$14:$C$68,C227)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SUMIFS(RAB!$F$14:$F$68,RAB!$C$14:$C$68,C228)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SUMIFS(RAB!$F$14:$F$68,RAB!$C$14:$C$68,C229)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SUMIFS(RAB!$F$14:$F$68,RAB!$C$14:$C$68,C230)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SUMIFS(RAB!$F$14:$F$68,RAB!$C$14:$C$68,C231)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SUMIFS(RAB!$F$14:$F$68,RAB!$C$14:$C$68,C232)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SUMIFS(RAB!$F$14:$F$68,RAB!$C$14:$C$68,C233)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SUMIFS(RAB!$F$14:$F$68,RAB!$C$14:$C$68,C234)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SUMIFS(RAB!$F$14:$F$68,RAB!$C$14:$C$68,C235)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SUMIFS(RAB!$F$14:$F$68,RAB!$C$14:$C$68,C236)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SUMIFS(RAB!$F$14:$F$68,RAB!$C$14:$C$68,C237)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SUMIFS(RAB!$F$14:$F$68,RAB!$C$14:$C$68,C238)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SUMIFS(RAB!$F$14:$F$68,RAB!$C$14:$C$68,C239)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SUMIFS(RAB!$F$14:$F$68,RAB!$C$14:$C$68,C240)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SUMIFS(RAB!$F$14:$F$68,RAB!$C$14:$C$68,C241)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SUMIFS(RAB!$F$14:$F$68,RAB!$C$14:$C$68,C242)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SUMIFS(RAB!$F$14:$F$68,RAB!$C$14:$C$68,C243)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SUMIFS(RAB!$F$14:$F$68,RAB!$C$14:$C$68,C244)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SUMIFS(RAB!$F$14:$F$68,RAB!$C$14:$C$68,C245)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SUMIFS(RAB!$F$14:$F$68,RAB!$C$14:$C$68,C246)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SUMIFS(RAB!$F$14:$F$68,RAB!$C$14:$C$68,C247)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SUMIFS(RAB!$F$14:$F$68,RAB!$C$14:$C$68,C248)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SUMIFS(RAB!$F$14:$F$68,RAB!$C$14:$C$68,C249)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SUMIFS(RAB!$F$14:$F$68,RAB!$C$14:$C$68,C250)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SUMIFS(RAB!$F$14:$F$68,RAB!$C$14:$C$68,C251)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SUMIFS(RAB!$F$14:$F$68,RAB!$C$14:$C$68,C252)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SUMIFS(RAB!$F$14:$F$68,RAB!$C$14:$C$68,C253)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SUMIFS(RAB!$F$14:$F$68,RAB!$C$14:$C$68,C254)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SUMIFS(RAB!$F$14:$F$68,RAB!$C$14:$C$68,C255)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SUMIFS(RAB!$F$14:$F$68,RAB!$C$14:$C$68,C256)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SUMIFS(RAB!$F$14:$F$68,RAB!$C$14:$C$68,C257)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SUMIFS(RAB!$F$14:$F$68,RAB!$C$14:$C$68,C258)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SUMIFS(RAB!$F$14:$F$68,RAB!$C$14:$C$68,C259)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SUMIFS(RAB!$F$14:$F$68,RAB!$C$14:$C$68,C260)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SUMIFS(RAB!$F$14:$F$68,RAB!$C$14:$C$68,C261)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SUMIFS(RAB!$F$14:$F$68,RAB!$C$14:$C$68,C262)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SUMIFS(RAB!$F$14:$F$68,RAB!$C$14:$C$68,C263)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SUMIFS(RAB!$F$14:$F$68,RAB!$C$14:$C$68,C264)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SUMIFS(RAB!$F$14:$F$68,RAB!$C$14:$C$68,C265)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SUMIFS(RAB!$F$14:$F$68,RAB!$C$14:$C$68,C266)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SUMIFS(RAB!$F$14:$F$68,RAB!$C$14:$C$68,C267)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SUMIFS(RAB!$F$14:$F$68,RAB!$C$14:$C$68,C268)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SUMIFS(RAB!$F$14:$F$68,RAB!$C$14:$C$68,C269)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SUMIFS(RAB!$F$14:$F$68,RAB!$C$14:$C$68,C270)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SUMIFS(RAB!$F$14:$F$68,RAB!$C$14:$C$68,C271)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SUMIFS(RAB!$F$14:$F$68,RAB!$C$14:$C$68,C272)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SUMIFS(RAB!$F$14:$F$68,RAB!$C$14:$C$68,C273)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SUMIFS(RAB!$F$14:$F$68,RAB!$C$14:$C$68,C274)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SUMIFS(RAB!$F$14:$F$68,RAB!$C$14:$C$68,C275)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SUMIFS(RAB!$F$14:$F$68,RAB!$C$14:$C$68,C276)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SUMIFS(RAB!$F$14:$F$68,RAB!$C$14:$C$68,C277)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SUMIFS(RAB!$F$14:$F$68,RAB!$C$14:$C$68,C278)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SUMIFS(RAB!$F$14:$F$68,RAB!$C$14:$C$68,C279)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SUMIFS(RAB!$F$14:$F$68,RAB!$C$14:$C$68,C280)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SUMIFS(RAB!$F$14:$F$68,RAB!$C$14:$C$68,C281)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SUMIFS(RAB!$F$14:$F$68,RAB!$C$14:$C$68,C282)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SUMIFS(RAB!$F$14:$F$68,RAB!$C$14:$C$68,C283)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SUMIFS(RAB!$F$14:$F$68,RAB!$C$14:$C$68,C284)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SUMIFS(RAB!$F$14:$F$68,RAB!$C$14:$C$68,C285)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SUMIFS(RAB!$F$14:$F$68,RAB!$C$14:$C$68,C286)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SUMIFS(RAB!$F$14:$F$68,RAB!$C$14:$C$68,C287)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SUMIFS(RAB!$F$14:$F$68,RAB!$C$14:$C$68,C288)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SUMIFS(RAB!$F$14:$F$68,RAB!$C$14:$C$68,C289)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SUMIFS(RAB!$F$14:$F$68,RAB!$C$14:$C$68,C290)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SUMIFS(RAB!$F$14:$F$68,RAB!$C$14:$C$68,C291)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SUMIFS(RAB!$F$14:$F$68,RAB!$C$14:$C$68,C292)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SUMIFS(RAB!$F$14:$F$68,RAB!$C$14:$C$68,C293)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SUMIFS(RAB!$F$14:$F$68,RAB!$C$14:$C$68,C294)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SUMIFS(RAB!$F$14:$F$68,RAB!$C$14:$C$68,C295)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SUMIFS(RAB!$F$14:$F$68,RAB!$C$14:$C$68,C296)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SUMIFS(RAB!$F$14:$F$68,RAB!$C$14:$C$68,C297)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SUMIFS(RAB!$F$14:$F$68,RAB!$C$14:$C$68,C298)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SUMIFS(RAB!$F$14:$F$68,RAB!$C$14:$C$68,C299)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SUMIFS(RAB!$F$14:$F$68,RAB!$C$14:$C$68,C300)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SUMIFS(RAB!$F$14:$F$68,RAB!$C$14:$C$68,C301)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SUMIFS(RAB!$F$14:$F$68,RAB!$C$14:$C$68,C302)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SUMIFS(RAB!$F$14:$F$68,RAB!$C$14:$C$68,C303)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SUMIFS(RAB!$F$14:$F$68,RAB!$C$14:$C$68,C304)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SUMIFS(RAB!$F$14:$F$68,RAB!$C$14:$C$68,C305)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SUMIFS(RAB!$F$14:$F$68,RAB!$C$14:$C$68,C306)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SUMIFS(RAB!$F$14:$F$68,RAB!$C$14:$C$68,C307)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SUMIFS(RAB!$F$14:$F$68,RAB!$C$14:$C$68,C308)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SUMIFS(RAB!$F$14:$F$68,RAB!$C$14:$C$68,C309)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SUMIFS(RAB!$F$14:$F$68,RAB!$C$14:$C$68,C310)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SUMIFS(RAB!$F$14:$F$68,RAB!$C$14:$C$68,C311)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SUMIFS(RAB!$F$14:$F$68,RAB!$C$14:$C$68,C312)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SUMIFS(RAB!$F$14:$F$68,RAB!$C$14:$C$68,C313)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SUMIFS(RAB!$F$14:$F$68,RAB!$C$14:$C$68,C314)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SUMIFS(RAB!$F$14:$F$68,RAB!$C$14:$C$68,C315)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SUMIFS(RAB!$F$14:$F$68,RAB!$C$14:$C$68,C316)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SUMIFS(RAB!$F$14:$F$68,RAB!$C$14:$C$68,C317)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SUMIFS(RAB!$F$14:$F$68,RAB!$C$14:$C$68,C318)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SUMIFS(RAB!$F$14:$F$68,RAB!$C$14:$C$68,C319)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SUMIFS(RAB!$F$14:$F$68,RAB!$C$14:$C$68,C320)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SUMIFS(RAB!$F$14:$F$68,RAB!$C$14:$C$68,C321)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SUMIFS(RAB!$F$14:$F$68,RAB!$C$14:$C$68,C322)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SUMIFS(RAB!$F$14:$F$68,RAB!$C$14:$C$68,C323)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SUMIFS(RAB!$F$14:$F$68,RAB!$C$14:$C$68,C324)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SUMIFS(RAB!$F$14:$F$68,RAB!$C$14:$C$68,C325)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SUMIFS(RAB!$F$14:$F$68,RAB!$C$14:$C$68,C326)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SUMIFS(RAB!$F$14:$F$68,RAB!$C$14:$C$68,C327)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SUMIFS(RAB!$F$14:$F$68,RAB!$C$14:$C$68,C328)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SUMIFS(RAB!$F$14:$F$68,RAB!$C$14:$C$68,C329)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SUMIFS(RAB!$F$14:$F$68,RAB!$C$14:$C$68,C330)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SUMIFS(RAB!$F$14:$F$68,RAB!$C$14:$C$68,C331)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SUMIFS(RAB!$F$14:$F$68,RAB!$C$14:$C$68,C332)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SUMIFS(RAB!$F$14:$F$68,RAB!$C$14:$C$68,C333)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SUMIFS(RAB!$F$14:$F$68,RAB!$C$14:$C$68,C334)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SUMIFS(RAB!$F$14:$F$68,RAB!$C$14:$C$68,C335)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SUMIFS(RAB!$F$14:$F$68,RAB!$C$14:$C$68,C336)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SUMIFS(RAB!$F$14:$F$68,RAB!$C$14:$C$68,C337)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SUMIFS(RAB!$F$14:$F$68,RAB!$C$14:$C$68,C338)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SUMIFS(RAB!$F$14:$F$68,RAB!$C$14:$C$68,C339)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SUMIFS(RAB!$F$14:$F$68,RAB!$C$14:$C$68,C340)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SUMIFS(RAB!$F$14:$F$68,RAB!$C$14:$C$68,C341)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SUMIFS(RAB!$F$14:$F$68,RAB!$C$14:$C$68,C342)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SUMIFS(RAB!$F$14:$F$68,RAB!$C$14:$C$68,C343)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SUMIFS(RAB!$F$14:$F$68,RAB!$C$14:$C$68,C344)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SUMIFS(RAB!$F$14:$F$68,RAB!$C$14:$C$68,C345)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SUMIFS(RAB!$F$14:$F$68,RAB!$C$14:$C$68,C346)</f>
        <v>250</v>
      </c>
      <c r="E346" s="24">
        <f t="shared" ca="1" si="22"/>
        <v>1</v>
      </c>
      <c r="F346" s="24">
        <f ca="1">IF(D346=0,0,SUM($E$223:E346))</f>
        <v>3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SUMIFS(RAB!$F$14:$F$68,RAB!$C$14:$C$68,C347)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SUMIFS(RAB!$F$14:$F$68,RAB!$C$14:$C$68,C348)</f>
        <v>35</v>
      </c>
      <c r="E348" s="24">
        <f t="shared" ca="1" si="22"/>
        <v>1</v>
      </c>
      <c r="F348" s="24">
        <f ca="1">IF(D348=0,0,SUM($E$223:E348))</f>
        <v>4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SUMIFS(RAB!$F$14:$F$68,RAB!$C$14:$C$68,C349)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SUMIFS(RAB!$F$14:$F$68,RAB!$C$14:$C$68,C350)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SUMIFS(RAB!$F$14:$F$68,RAB!$C$14:$C$68,C351)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SUMIFS(RAB!$F$14:$F$68,RAB!$C$14:$C$68,C352)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SUMIFS(RAB!$F$14:$F$68,RAB!$C$14:$C$68,C353)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SUMIFS(RAB!$F$14:$F$68,RAB!$C$14:$C$68,C354)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SUMIFS(RAB!$F$14:$F$68,RAB!$C$14:$C$68,C355)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SUMIFS(RAB!$F$14:$F$68,RAB!$C$14:$C$68,C356)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SUMIFS(RAB!$F$14:$F$68,RAB!$C$14:$C$68,C357)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SUMIFS(RAB!$F$14:$F$68,RAB!$C$14:$C$68,C358)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SUMIFS(RAB!$F$14:$F$68,RAB!$C$14:$C$68,C359)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SUMIFS(RAB!$F$14:$F$68,RAB!$C$14:$C$68,C360)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SUMIFS(RAB!$F$14:$F$68,RAB!$C$14:$C$68,C361)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SUMIFS(RAB!$F$14:$F$68,RAB!$C$14:$C$68,C362)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SUMIFS(RAB!$F$14:$F$68,RAB!$C$14:$C$68,C363)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SUMIFS(RAB!$F$14:$F$68,RAB!$C$14:$C$68,C364)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SUMIFS(RAB!$F$14:$F$68,RAB!$C$14:$C$68,C365)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SUMIFS(RAB!$F$14:$F$68,RAB!$C$14:$C$68,C366)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SUMIFS(RAB!$F$14:$F$68,RAB!$C$14:$C$68,C367)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SUMIFS(RAB!$F$14:$F$68,RAB!$C$14:$C$68,C368)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SUMIFS(RAB!$F$14:$F$68,RAB!$C$14:$C$68,C369)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SUMIFS(RAB!$F$14:$F$68,RAB!$C$14:$C$68,C370)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SUMIFS(RAB!$F$14:$F$68,RAB!$C$14:$C$68,C371)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SUMIFS(RAB!$F$14:$F$68,RAB!$C$14:$C$68,C372)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SUMIFS(RAB!$F$14:$F$68,RAB!$C$14:$C$68,C373)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E171:E223 E167:F167 H167:K167 N13 H12:I12 F14:F15 R14:T115 E1:E3 H14:K115 G374:G65536 E374:E65536 G225:G322 G166:G223 E166:K166 R166:T166 G1:G115 E6:E15">
    <cfRule type="cellIs" dxfId="108" priority="43" stopIfTrue="1" operator="equal">
      <formula>0</formula>
    </cfRule>
  </conditionalFormatting>
  <conditionalFormatting sqref="G323:G373">
    <cfRule type="cellIs" dxfId="107" priority="14" stopIfTrue="1" operator="equal">
      <formula>0</formula>
    </cfRule>
  </conditionalFormatting>
  <conditionalFormatting sqref="D224:D373">
    <cfRule type="cellIs" dxfId="106" priority="13" operator="equal">
      <formula>0</formula>
    </cfRule>
  </conditionalFormatting>
  <conditionalFormatting sqref="B116:B165">
    <cfRule type="cellIs" dxfId="105" priority="5" operator="equal">
      <formula>0</formula>
    </cfRule>
  </conditionalFormatting>
  <conditionalFormatting sqref="R116:T165 G116:K165">
    <cfRule type="cellIs" dxfId="104" priority="6" stopIfTrue="1" operator="equal">
      <formula>0</formula>
    </cfRule>
  </conditionalFormatting>
  <conditionalFormatting sqref="G224">
    <cfRule type="cellIs" dxfId="103" priority="10" operator="equal">
      <formula>0</formula>
    </cfRule>
  </conditionalFormatting>
  <conditionalFormatting sqref="E224:E373">
    <cfRule type="cellIs" dxfId="102" priority="9" stopIfTrue="1" operator="equal">
      <formula>0</formula>
    </cfRule>
  </conditionalFormatting>
  <conditionalFormatting sqref="E224:F373">
    <cfRule type="cellIs" dxfId="101" priority="8" operator="equal">
      <formula>0</formula>
    </cfRule>
  </conditionalFormatting>
  <conditionalFormatting sqref="B16:B115 B166">
    <cfRule type="cellIs" dxfId="100" priority="7" operator="equal">
      <formula>0</formula>
    </cfRule>
  </conditionalFormatting>
  <conditionalFormatting sqref="C16:C165">
    <cfRule type="cellIs" dxfId="99" priority="4" stopIfTrue="1" operator="equal">
      <formula>0</formula>
    </cfRule>
  </conditionalFormatting>
  <conditionalFormatting sqref="C16:C165">
    <cfRule type="cellIs" dxfId="98" priority="3" operator="equal">
      <formula>0</formula>
    </cfRule>
  </conditionalFormatting>
  <conditionalFormatting sqref="D16:D165">
    <cfRule type="cellIs" dxfId="97" priority="2" operator="equal">
      <formula>0</formula>
    </cfRule>
  </conditionalFormatting>
  <conditionalFormatting sqref="E16:E165">
    <cfRule type="cellIs" dxfId="96" priority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5"/>
    </row>
    <row r="4" spans="4:4" ht="57" customHeight="1">
      <c r="D4" s="465">
        <v>3</v>
      </c>
    </row>
    <row r="5" spans="4:4" ht="57" customHeight="1">
      <c r="D5" s="465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399" activePane="bottomRight" state="frozen"/>
      <selection activeCell="D209" sqref="D209"/>
      <selection pane="topRight" activeCell="D209" sqref="D209"/>
      <selection pane="bottomLeft" activeCell="D209" sqref="D209"/>
      <selection pane="bottomRight" activeCell="C402" sqref="C40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3" t="s">
        <v>41</v>
      </c>
      <c r="C2" s="553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4" t="s">
        <v>23</v>
      </c>
      <c r="C4" s="555" t="s">
        <v>1012</v>
      </c>
      <c r="D4" s="555" t="s">
        <v>42</v>
      </c>
      <c r="E4" s="554" t="s">
        <v>43</v>
      </c>
      <c r="F4" s="108" t="s">
        <v>1610</v>
      </c>
      <c r="G4" s="108" t="s">
        <v>1609</v>
      </c>
      <c r="H4" s="552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4"/>
      <c r="C5" s="555"/>
      <c r="D5" s="555"/>
      <c r="E5" s="554"/>
      <c r="F5" s="93"/>
      <c r="G5" s="93"/>
      <c r="H5" s="552"/>
      <c r="I5" s="193" t="s">
        <v>1609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1553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1554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1555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1556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1557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1558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1559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1560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1461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1561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1562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1563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1564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1565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1566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1567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1462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1463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1568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1569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1570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1571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1572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1573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1574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1575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1576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1577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1578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1579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1580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1581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1582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1583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1584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1585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1586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1587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1588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1589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1590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1591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1592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1593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1594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1595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1596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1597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1598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1599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1600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1601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1602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1603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1604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1464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1465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1466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1467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1468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1469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1470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93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93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1471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1472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1473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1474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1475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1476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1477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1478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1479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1480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1481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1482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1483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1484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1485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1486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1487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1488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1489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1490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1491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1492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1493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1494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1495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1496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1497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1498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1499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1500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1501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1502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1503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1504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1505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1506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1507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1508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1509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1510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1511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1512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1513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1514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1515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1516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1517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1518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1519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1521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1520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1605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1606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1607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1522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1523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1524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1525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1526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1527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1528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1529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1608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94">
        <v>2740</v>
      </c>
      <c r="G1433" s="494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95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95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95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95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95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D6:K6 D1:IV5 N6:IV6 D7:IV7 Q121:IV1454 J108:P1454 Q108:IV117 I108:I117 A108:A117 A1:C7 I9:IV106 I121:I1404 A1495:XFD65536 H1455:IV1457 H1434:I1454 A8:A106 H8:IV8 A121:A1493 H1458:XFD1485 H1486:H1493 A1494:H1494 I1486:XFD1494">
    <cfRule type="cellIs" dxfId="95" priority="163" operator="equal">
      <formula>0</formula>
    </cfRule>
  </conditionalFormatting>
  <conditionalFormatting sqref="M6">
    <cfRule type="cellIs" dxfId="94" priority="140" operator="equal">
      <formula>0</formula>
    </cfRule>
  </conditionalFormatting>
  <conditionalFormatting sqref="A118:A120 I118:I120 Q118:IV120">
    <cfRule type="cellIs" dxfId="93" priority="139" operator="equal">
      <formula>0</formula>
    </cfRule>
  </conditionalFormatting>
  <conditionalFormatting sqref="A107 I107:IV107">
    <cfRule type="cellIs" dxfId="92" priority="138" operator="equal">
      <formula>0</formula>
    </cfRule>
  </conditionalFormatting>
  <conditionalFormatting sqref="H108:H117 H9:H106 H250:H1404 H121:H246">
    <cfRule type="cellIs" dxfId="91" priority="134" operator="equal">
      <formula>0</formula>
    </cfRule>
  </conditionalFormatting>
  <conditionalFormatting sqref="H118:H120">
    <cfRule type="cellIs" dxfId="90" priority="133" operator="equal">
      <formula>0</formula>
    </cfRule>
  </conditionalFormatting>
  <conditionalFormatting sqref="H107">
    <cfRule type="cellIs" dxfId="89" priority="132" operator="equal">
      <formula>0</formula>
    </cfRule>
  </conditionalFormatting>
  <conditionalFormatting sqref="H247:H249">
    <cfRule type="cellIs" dxfId="88" priority="131" operator="equal">
      <formula>0</formula>
    </cfRule>
  </conditionalFormatting>
  <conditionalFormatting sqref="H1412:H1418 H1419:I1420">
    <cfRule type="cellIs" dxfId="87" priority="130" operator="equal">
      <formula>0</formula>
    </cfRule>
  </conditionalFormatting>
  <conditionalFormatting sqref="H1405:H1411">
    <cfRule type="cellIs" dxfId="86" priority="129" operator="equal">
      <formula>0</formula>
    </cfRule>
  </conditionalFormatting>
  <conditionalFormatting sqref="H1421:I1433">
    <cfRule type="cellIs" dxfId="85" priority="128" operator="equal">
      <formula>0</formula>
    </cfRule>
  </conditionalFormatting>
  <conditionalFormatting sqref="I1405:I1418">
    <cfRule type="cellIs" dxfId="84" priority="125" operator="equal">
      <formula>0</formula>
    </cfRule>
  </conditionalFormatting>
  <conditionalFormatting sqref="D8:G8 B1457:E1457 B1468:E1472 B1458:C1459 B1473 D1473:E1473 B1461:C1467 B1460 B1474:E1477 B1486:E1486 C1483:E1484 C1478:E1478 G229:G248 B1051:E1058 G1051:G1058 G1483:G1484 G1486 G1474:G1478 G1468:G1472 G1457 D9:E120 D124:G142 B132:C135 C144:G147 C136:C142 B136:B149 B150:G228 B229:E913 F252:G913 B915:G1001 B914 B1003:G1034 G1060:G1452 D1060:E1452 B1060:C1383">
    <cfRule type="cellIs" dxfId="83" priority="62" operator="equal">
      <formula>0</formula>
    </cfRule>
  </conditionalFormatting>
  <conditionalFormatting sqref="D121:E123">
    <cfRule type="cellIs" dxfId="82" priority="61" operator="equal">
      <formula>0</formula>
    </cfRule>
  </conditionalFormatting>
  <conditionalFormatting sqref="C8 B116:C116 C117:C121 B118 B120 B126:C128 B123:C123 B1384:C1452 C17:C85 B8:B85 B86:C114">
    <cfRule type="cellIs" dxfId="81" priority="57" operator="equal">
      <formula>0</formula>
    </cfRule>
  </conditionalFormatting>
  <conditionalFormatting sqref="B129:C131">
    <cfRule type="cellIs" dxfId="80" priority="56" operator="equal">
      <formula>0</formula>
    </cfRule>
  </conditionalFormatting>
  <conditionalFormatting sqref="B115:C115 B117 B119 B121">
    <cfRule type="cellIs" dxfId="79" priority="55" operator="equal">
      <formula>0</formula>
    </cfRule>
  </conditionalFormatting>
  <conditionalFormatting sqref="G9 G11:G120">
    <cfRule type="cellIs" dxfId="78" priority="60" operator="equal">
      <formula>0</formula>
    </cfRule>
  </conditionalFormatting>
  <conditionalFormatting sqref="G121:G123">
    <cfRule type="cellIs" dxfId="77" priority="59" operator="equal">
      <formula>0</formula>
    </cfRule>
  </conditionalFormatting>
  <conditionalFormatting sqref="G249:G251">
    <cfRule type="cellIs" dxfId="76" priority="58" operator="equal">
      <formula>0</formula>
    </cfRule>
  </conditionalFormatting>
  <conditionalFormatting sqref="C9:C13 C15:C16">
    <cfRule type="cellIs" dxfId="75" priority="54" operator="equal">
      <formula>0</formula>
    </cfRule>
  </conditionalFormatting>
  <conditionalFormatting sqref="C14">
    <cfRule type="cellIs" dxfId="74" priority="53" operator="equal">
      <formula>0</formula>
    </cfRule>
  </conditionalFormatting>
  <conditionalFormatting sqref="B124:C125">
    <cfRule type="cellIs" dxfId="73" priority="52" operator="equal">
      <formula>0</formula>
    </cfRule>
  </conditionalFormatting>
  <conditionalFormatting sqref="B122:C122">
    <cfRule type="cellIs" dxfId="72" priority="51" operator="equal">
      <formula>0</formula>
    </cfRule>
  </conditionalFormatting>
  <conditionalFormatting sqref="B1453:C1455 B1456">
    <cfRule type="cellIs" dxfId="71" priority="50" operator="equal">
      <formula>0</formula>
    </cfRule>
  </conditionalFormatting>
  <conditionalFormatting sqref="D1453:E1455 G1453:G1455">
    <cfRule type="cellIs" dxfId="70" priority="49" operator="equal">
      <formula>0</formula>
    </cfRule>
  </conditionalFormatting>
  <conditionalFormatting sqref="G1473">
    <cfRule type="cellIs" dxfId="69" priority="43" operator="equal">
      <formula>0</formula>
    </cfRule>
  </conditionalFormatting>
  <conditionalFormatting sqref="C1456:E1456 G1456">
    <cfRule type="cellIs" dxfId="68" priority="48" operator="equal">
      <formula>0</formula>
    </cfRule>
  </conditionalFormatting>
  <conditionalFormatting sqref="D1458:E1458 D1461:E1461 D1463:E1467 G1463:G1467 G1461 G1458">
    <cfRule type="cellIs" dxfId="67" priority="47" operator="equal">
      <formula>0</formula>
    </cfRule>
  </conditionalFormatting>
  <conditionalFormatting sqref="D1462:E1462 G1462">
    <cfRule type="cellIs" dxfId="66" priority="46" operator="equal">
      <formula>0</formula>
    </cfRule>
  </conditionalFormatting>
  <conditionalFormatting sqref="C1460">
    <cfRule type="cellIs" dxfId="65" priority="42" operator="equal">
      <formula>0</formula>
    </cfRule>
  </conditionalFormatting>
  <conditionalFormatting sqref="D1459:E1460 G1459:G1460">
    <cfRule type="cellIs" dxfId="64" priority="45" operator="equal">
      <formula>0</formula>
    </cfRule>
  </conditionalFormatting>
  <conditionalFormatting sqref="C1473">
    <cfRule type="cellIs" dxfId="63" priority="44" operator="equal">
      <formula>0</formula>
    </cfRule>
  </conditionalFormatting>
  <conditionalFormatting sqref="C1479:E1479 G1479">
    <cfRule type="cellIs" dxfId="62" priority="41" operator="equal">
      <formula>0</formula>
    </cfRule>
  </conditionalFormatting>
  <conditionalFormatting sqref="C1480:E1480 G1480">
    <cfRule type="cellIs" dxfId="61" priority="40" operator="equal">
      <formula>0</formula>
    </cfRule>
  </conditionalFormatting>
  <conditionalFormatting sqref="C1481:E1481 G1481">
    <cfRule type="cellIs" dxfId="60" priority="39" operator="equal">
      <formula>0</formula>
    </cfRule>
  </conditionalFormatting>
  <conditionalFormatting sqref="C1482:E1482 G1482">
    <cfRule type="cellIs" dxfId="59" priority="38" operator="equal">
      <formula>0</formula>
    </cfRule>
  </conditionalFormatting>
  <conditionalFormatting sqref="C1485:E1485 G1485">
    <cfRule type="cellIs" dxfId="58" priority="37" operator="equal">
      <formula>0</formula>
    </cfRule>
  </conditionalFormatting>
  <conditionalFormatting sqref="B1478:B1485">
    <cfRule type="cellIs" dxfId="57" priority="36" operator="equal">
      <formula>0</formula>
    </cfRule>
  </conditionalFormatting>
  <conditionalFormatting sqref="B1487:E1493 G1487:G1493">
    <cfRule type="cellIs" dxfId="56" priority="35" operator="equal">
      <formula>0</formula>
    </cfRule>
  </conditionalFormatting>
  <conditionalFormatting sqref="F1482">
    <cfRule type="cellIs" dxfId="55" priority="16" operator="equal">
      <formula>0</formula>
    </cfRule>
  </conditionalFormatting>
  <conditionalFormatting sqref="C1035:C1050">
    <cfRule type="cellIs" dxfId="54" priority="31" operator="equal">
      <formula>0</formula>
    </cfRule>
  </conditionalFormatting>
  <conditionalFormatting sqref="G1049">
    <cfRule type="cellIs" dxfId="53" priority="30" operator="equal">
      <formula>0</formula>
    </cfRule>
  </conditionalFormatting>
  <conditionalFormatting sqref="D1035:E1050">
    <cfRule type="cellIs" dxfId="52" priority="34" operator="equal">
      <formula>0</formula>
    </cfRule>
  </conditionalFormatting>
  <conditionalFormatting sqref="B1035:B1050">
    <cfRule type="cellIs" dxfId="51" priority="32" operator="equal">
      <formula>0</formula>
    </cfRule>
  </conditionalFormatting>
  <conditionalFormatting sqref="G1035:G1048 G1050">
    <cfRule type="cellIs" dxfId="50" priority="33" operator="equal">
      <formula>0</formula>
    </cfRule>
  </conditionalFormatting>
  <conditionalFormatting sqref="F1049">
    <cfRule type="cellIs" dxfId="49" priority="12" operator="equal">
      <formula>0</formula>
    </cfRule>
  </conditionalFormatting>
  <conditionalFormatting sqref="F229:F248 F1051:F1058 F1483:F1484 F1486 F1474:F1478 F1468:F1472 F1457 F1060:F1452">
    <cfRule type="cellIs" dxfId="48" priority="29" operator="equal">
      <formula>0</formula>
    </cfRule>
  </conditionalFormatting>
  <conditionalFormatting sqref="F9:F120">
    <cfRule type="cellIs" dxfId="47" priority="28" operator="equal">
      <formula>0</formula>
    </cfRule>
  </conditionalFormatting>
  <conditionalFormatting sqref="F121:F123">
    <cfRule type="cellIs" dxfId="46" priority="27" operator="equal">
      <formula>0</formula>
    </cfRule>
  </conditionalFormatting>
  <conditionalFormatting sqref="F249:F251">
    <cfRule type="cellIs" dxfId="45" priority="26" operator="equal">
      <formula>0</formula>
    </cfRule>
  </conditionalFormatting>
  <conditionalFormatting sqref="F1453:F1455">
    <cfRule type="cellIs" dxfId="44" priority="25" operator="equal">
      <formula>0</formula>
    </cfRule>
  </conditionalFormatting>
  <conditionalFormatting sqref="F1473">
    <cfRule type="cellIs" dxfId="43" priority="20" operator="equal">
      <formula>0</formula>
    </cfRule>
  </conditionalFormatting>
  <conditionalFormatting sqref="F1456">
    <cfRule type="cellIs" dxfId="42" priority="24" operator="equal">
      <formula>0</formula>
    </cfRule>
  </conditionalFormatting>
  <conditionalFormatting sqref="F1463:F1467 F1461 F1458">
    <cfRule type="cellIs" dxfId="41" priority="23" operator="equal">
      <formula>0</formula>
    </cfRule>
  </conditionalFormatting>
  <conditionalFormatting sqref="F1462">
    <cfRule type="cellIs" dxfId="40" priority="22" operator="equal">
      <formula>0</formula>
    </cfRule>
  </conditionalFormatting>
  <conditionalFormatting sqref="F1459:F1460">
    <cfRule type="cellIs" dxfId="39" priority="21" operator="equal">
      <formula>0</formula>
    </cfRule>
  </conditionalFormatting>
  <conditionalFormatting sqref="F1479">
    <cfRule type="cellIs" dxfId="38" priority="19" operator="equal">
      <formula>0</formula>
    </cfRule>
  </conditionalFormatting>
  <conditionalFormatting sqref="F1480">
    <cfRule type="cellIs" dxfId="37" priority="18" operator="equal">
      <formula>0</formula>
    </cfRule>
  </conditionalFormatting>
  <conditionalFormatting sqref="F1481">
    <cfRule type="cellIs" dxfId="36" priority="17" operator="equal">
      <formula>0</formula>
    </cfRule>
  </conditionalFormatting>
  <conditionalFormatting sqref="F1035:F1048 F1050">
    <cfRule type="cellIs" dxfId="35" priority="13" operator="equal">
      <formula>0</formula>
    </cfRule>
  </conditionalFormatting>
  <conditionalFormatting sqref="F1485">
    <cfRule type="cellIs" dxfId="34" priority="15" operator="equal">
      <formula>0</formula>
    </cfRule>
  </conditionalFormatting>
  <conditionalFormatting sqref="F1487:F1493">
    <cfRule type="cellIs" dxfId="33" priority="14" operator="equal">
      <formula>0</formula>
    </cfRule>
  </conditionalFormatting>
  <conditionalFormatting sqref="G10">
    <cfRule type="cellIs" dxfId="32" priority="11" operator="equal">
      <formula>0</formula>
    </cfRule>
  </conditionalFormatting>
  <conditionalFormatting sqref="C143:G143">
    <cfRule type="cellIs" dxfId="31" priority="10" operator="equal">
      <formula>0</formula>
    </cfRule>
  </conditionalFormatting>
  <conditionalFormatting sqref="C148:C149">
    <cfRule type="cellIs" dxfId="30" priority="7" operator="equal">
      <formula>0</formula>
    </cfRule>
  </conditionalFormatting>
  <conditionalFormatting sqref="E148:E149">
    <cfRule type="cellIs" dxfId="29" priority="9" operator="equal">
      <formula>0</formula>
    </cfRule>
  </conditionalFormatting>
  <conditionalFormatting sqref="G148:G149">
    <cfRule type="cellIs" dxfId="28" priority="8" operator="equal">
      <formula>0</formula>
    </cfRule>
  </conditionalFormatting>
  <conditionalFormatting sqref="F148:F149">
    <cfRule type="cellIs" dxfId="27" priority="6" operator="equal">
      <formula>0</formula>
    </cfRule>
  </conditionalFormatting>
  <conditionalFormatting sqref="D148:D149">
    <cfRule type="cellIs" dxfId="26" priority="5" operator="equal">
      <formula>0</formula>
    </cfRule>
  </conditionalFormatting>
  <conditionalFormatting sqref="C914:G914">
    <cfRule type="cellIs" dxfId="25" priority="4" operator="equal">
      <formula>0</formula>
    </cfRule>
  </conditionalFormatting>
  <conditionalFormatting sqref="B1002:G1002">
    <cfRule type="cellIs" dxfId="24" priority="3" operator="equal">
      <formula>0</formula>
    </cfRule>
  </conditionalFormatting>
  <conditionalFormatting sqref="B1059:E1059 G1059">
    <cfRule type="cellIs" dxfId="23" priority="2" operator="equal">
      <formula>0</formula>
    </cfRule>
  </conditionalFormatting>
  <conditionalFormatting sqref="F1059">
    <cfRule type="cellIs" dxfId="22" priority="1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7" zoomScale="70" zoomScaleNormal="70" zoomScaleSheetLayoutView="85" workbookViewId="0">
      <selection activeCell="O24" sqref="O24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87" t="s">
        <v>1454</v>
      </c>
      <c r="C2" s="587"/>
      <c r="D2" s="587"/>
      <c r="E2" s="587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92" t="s">
        <v>1535</v>
      </c>
      <c r="C4" s="593"/>
      <c r="D4" s="593"/>
      <c r="E4" s="594"/>
      <c r="F4" s="447"/>
      <c r="G4" s="447"/>
      <c r="H4" s="448"/>
      <c r="I4" s="556" t="s">
        <v>1536</v>
      </c>
      <c r="J4" s="557"/>
      <c r="K4" s="557"/>
      <c r="L4" s="558"/>
    </row>
    <row r="5" spans="1:12" ht="34.5" customHeight="1">
      <c r="A5" s="204"/>
      <c r="B5" s="450" t="s">
        <v>1379</v>
      </c>
      <c r="C5" s="277" t="s">
        <v>9</v>
      </c>
      <c r="D5" s="588" t="str">
        <f>DATA!D14</f>
        <v>DPU-RUMAH POMPA LOIRENG</v>
      </c>
      <c r="E5" s="589"/>
      <c r="F5" s="208"/>
      <c r="G5" s="208"/>
      <c r="I5" s="451" t="s">
        <v>1379</v>
      </c>
      <c r="J5" s="277" t="s">
        <v>9</v>
      </c>
      <c r="K5" s="559" t="str">
        <f>D5</f>
        <v>DPU-RUMAH POMPA LOIRENG</v>
      </c>
      <c r="L5" s="560"/>
    </row>
    <row r="6" spans="1:12" ht="31.5" customHeight="1">
      <c r="A6" s="204"/>
      <c r="B6" s="450" t="s">
        <v>1532</v>
      </c>
      <c r="C6" s="277" t="s">
        <v>9</v>
      </c>
      <c r="D6" s="597">
        <f>DATA!D17*1000</f>
        <v>0</v>
      </c>
      <c r="E6" s="598"/>
      <c r="F6" s="208"/>
      <c r="G6" s="208"/>
      <c r="I6" s="451" t="s">
        <v>1533</v>
      </c>
      <c r="J6" s="277" t="s">
        <v>9</v>
      </c>
      <c r="K6" s="561">
        <f>DATA!D20*1000</f>
        <v>11000</v>
      </c>
      <c r="L6" s="562"/>
    </row>
    <row r="7" spans="1:12" ht="30.75" customHeight="1">
      <c r="A7" s="204"/>
      <c r="B7" s="450" t="s">
        <v>1441</v>
      </c>
      <c r="C7" s="277" t="s">
        <v>9</v>
      </c>
      <c r="D7" s="595">
        <f>DATA!D18</f>
        <v>1</v>
      </c>
      <c r="E7" s="596"/>
      <c r="F7" s="449" t="s">
        <v>1453</v>
      </c>
      <c r="I7" s="451" t="s">
        <v>1441</v>
      </c>
      <c r="J7" s="277" t="s">
        <v>9</v>
      </c>
      <c r="K7" s="563">
        <f>DATA!D21</f>
        <v>1</v>
      </c>
      <c r="L7" s="564"/>
    </row>
    <row r="8" spans="1:12" ht="51" customHeight="1">
      <c r="A8" s="204"/>
      <c r="B8" s="450" t="s">
        <v>1442</v>
      </c>
      <c r="C8" s="277" t="s">
        <v>9</v>
      </c>
      <c r="D8" s="595">
        <f>DATA!D19</f>
        <v>220</v>
      </c>
      <c r="E8" s="596"/>
      <c r="F8" s="449" t="s">
        <v>1453</v>
      </c>
      <c r="G8" s="444">
        <v>220</v>
      </c>
      <c r="I8" s="451" t="s">
        <v>1442</v>
      </c>
      <c r="J8" s="277" t="s">
        <v>9</v>
      </c>
      <c r="K8" s="563">
        <f>DATA!D22</f>
        <v>220</v>
      </c>
      <c r="L8" s="564"/>
    </row>
    <row r="9" spans="1:12" ht="30" customHeight="1" thickBot="1">
      <c r="A9" s="204"/>
      <c r="B9" s="456" t="s">
        <v>1544</v>
      </c>
      <c r="C9" s="446" t="s">
        <v>9</v>
      </c>
      <c r="D9" s="590">
        <f>IF(D7=1,D6/(380/3^0.5),(D6/(380*3^0.5)))</f>
        <v>0</v>
      </c>
      <c r="E9" s="591"/>
      <c r="F9" s="207"/>
      <c r="G9" s="445">
        <v>380</v>
      </c>
      <c r="I9" s="457" t="s">
        <v>1544</v>
      </c>
      <c r="J9" s="446" t="s">
        <v>9</v>
      </c>
      <c r="K9" s="567">
        <f>IF(K7=1,K6/(380/3^0.5),(K6/(380*3^0.5)))</f>
        <v>50.138312850678027</v>
      </c>
      <c r="L9" s="568"/>
    </row>
    <row r="10" spans="1:12" ht="24.75" customHeight="1">
      <c r="B10" s="458"/>
      <c r="C10" s="455"/>
      <c r="D10" s="459"/>
      <c r="E10" s="459"/>
      <c r="F10" s="207"/>
      <c r="G10" s="445"/>
      <c r="I10" s="458"/>
      <c r="J10" s="455"/>
      <c r="K10" s="459"/>
      <c r="L10" s="459"/>
    </row>
    <row r="11" spans="1:12" ht="16.5" thickBot="1">
      <c r="B11" s="452" t="s">
        <v>1545</v>
      </c>
      <c r="I11" s="452" t="s">
        <v>1539</v>
      </c>
    </row>
    <row r="12" spans="1:12" ht="34.5" customHeight="1">
      <c r="A12" s="204"/>
      <c r="B12" s="480" t="s">
        <v>1537</v>
      </c>
      <c r="C12" s="474" t="s">
        <v>9</v>
      </c>
      <c r="D12" s="599" t="s">
        <v>1628</v>
      </c>
      <c r="E12" s="600"/>
      <c r="F12" s="208"/>
      <c r="G12" s="208"/>
      <c r="I12" s="473" t="s">
        <v>1537</v>
      </c>
      <c r="J12" s="474" t="s">
        <v>9</v>
      </c>
      <c r="K12" s="599" t="s">
        <v>1628</v>
      </c>
      <c r="L12" s="600"/>
    </row>
    <row r="13" spans="1:12" ht="31.5" customHeight="1">
      <c r="A13" s="204"/>
      <c r="B13" s="481" t="s">
        <v>1380</v>
      </c>
      <c r="C13" s="461" t="s">
        <v>9</v>
      </c>
      <c r="D13" s="565" t="s">
        <v>1629</v>
      </c>
      <c r="E13" s="566"/>
      <c r="F13" s="208"/>
      <c r="G13" s="208"/>
      <c r="I13" s="475" t="s">
        <v>1380</v>
      </c>
      <c r="J13" s="461" t="s">
        <v>9</v>
      </c>
      <c r="K13" s="565" t="s">
        <v>1629</v>
      </c>
      <c r="L13" s="566"/>
    </row>
    <row r="14" spans="1:12" ht="30.75" customHeight="1">
      <c r="A14" s="204"/>
      <c r="B14" s="481" t="s">
        <v>1538</v>
      </c>
      <c r="C14" s="461" t="s">
        <v>9</v>
      </c>
      <c r="D14" s="569"/>
      <c r="E14" s="570"/>
      <c r="F14" s="449" t="s">
        <v>1453</v>
      </c>
      <c r="G14" s="453">
        <v>50</v>
      </c>
      <c r="I14" s="475" t="s">
        <v>1538</v>
      </c>
      <c r="J14" s="461" t="s">
        <v>9</v>
      </c>
      <c r="K14" s="571">
        <v>50</v>
      </c>
      <c r="L14" s="572"/>
    </row>
    <row r="15" spans="1:12" ht="57" customHeight="1">
      <c r="A15" s="204"/>
      <c r="B15" s="481" t="s">
        <v>1441</v>
      </c>
      <c r="C15" s="461" t="s">
        <v>9</v>
      </c>
      <c r="D15" s="467"/>
      <c r="E15" s="476"/>
      <c r="F15" s="449" t="s">
        <v>1453</v>
      </c>
      <c r="G15" s="453">
        <v>100</v>
      </c>
      <c r="I15" s="475" t="s">
        <v>1441</v>
      </c>
      <c r="J15" s="461" t="s">
        <v>9</v>
      </c>
      <c r="K15" s="467">
        <v>1</v>
      </c>
      <c r="L15" s="476"/>
    </row>
    <row r="16" spans="1:12" ht="44.25" customHeight="1">
      <c r="A16" s="204"/>
      <c r="B16" s="481" t="s">
        <v>1548</v>
      </c>
      <c r="C16" s="461"/>
      <c r="D16" s="573">
        <f>50</f>
        <v>50</v>
      </c>
      <c r="E16" s="574"/>
      <c r="F16" s="449"/>
      <c r="G16" s="453">
        <v>160</v>
      </c>
      <c r="I16" s="475" t="s">
        <v>1540</v>
      </c>
      <c r="J16" s="461" t="s">
        <v>9</v>
      </c>
      <c r="K16" s="577">
        <f>K9</f>
        <v>50.138312850678027</v>
      </c>
      <c r="L16" s="578"/>
    </row>
    <row r="17" spans="1:12" ht="34.5" customHeight="1">
      <c r="A17" s="204"/>
      <c r="B17" s="481" t="s">
        <v>1541</v>
      </c>
      <c r="C17" s="461" t="s">
        <v>9</v>
      </c>
      <c r="D17" s="575">
        <f>IF(D15=1,D14/(20/3^0.5),(D14/(20*3^0.5)))</f>
        <v>0</v>
      </c>
      <c r="E17" s="576"/>
      <c r="F17" s="449" t="s">
        <v>1453</v>
      </c>
      <c r="G17" s="454">
        <v>200</v>
      </c>
      <c r="I17" s="475" t="s">
        <v>1541</v>
      </c>
      <c r="J17" s="461" t="s">
        <v>9</v>
      </c>
      <c r="K17" s="581">
        <f>IF(K15=1,K14/(20/3^0.5),(K14/(20*3^0.5)))</f>
        <v>4.3301270189221928</v>
      </c>
      <c r="L17" s="582"/>
    </row>
    <row r="18" spans="1:12" ht="34.5" customHeight="1">
      <c r="A18" s="204"/>
      <c r="B18" s="481" t="s">
        <v>1542</v>
      </c>
      <c r="C18" s="461" t="s">
        <v>9</v>
      </c>
      <c r="D18" s="575">
        <f>IF(D15=1,D14/(380/3^0.5),(D14/(380*3^0.5)))*1000</f>
        <v>0</v>
      </c>
      <c r="E18" s="576"/>
      <c r="F18" s="449" t="s">
        <v>1453</v>
      </c>
      <c r="G18" s="454">
        <v>250</v>
      </c>
      <c r="I18" s="475" t="s">
        <v>1542</v>
      </c>
      <c r="J18" s="461" t="s">
        <v>9</v>
      </c>
      <c r="K18" s="581">
        <f>IF(K15=1,K14/(380/3^0.5),(K14/(380*3^0.5)))*1000</f>
        <v>227.90142204853646</v>
      </c>
      <c r="L18" s="582"/>
    </row>
    <row r="19" spans="1:12" ht="30" customHeight="1">
      <c r="A19" s="204"/>
      <c r="B19" s="482" t="s">
        <v>1534</v>
      </c>
      <c r="C19" s="460" t="s">
        <v>9</v>
      </c>
      <c r="D19" s="575">
        <f>IF(D15=1,D14/(380/3^0.5),(D14/(380*3^0.5)))</f>
        <v>0</v>
      </c>
      <c r="E19" s="576"/>
      <c r="F19" s="207"/>
      <c r="G19" s="445"/>
      <c r="I19" s="477" t="s">
        <v>1534</v>
      </c>
      <c r="J19" s="460" t="s">
        <v>9</v>
      </c>
      <c r="K19" s="581">
        <f>IF(K15=1,K14/(380/3^0.5),(K14/(380*3^0.5)))</f>
        <v>0.22790142204853647</v>
      </c>
      <c r="L19" s="582"/>
    </row>
    <row r="20" spans="1:12" ht="30" customHeight="1" thickBot="1">
      <c r="A20" s="204"/>
      <c r="B20" s="483" t="s">
        <v>1543</v>
      </c>
      <c r="C20" s="479" t="s">
        <v>9</v>
      </c>
      <c r="D20" s="601" t="e">
        <f>D16/D18</f>
        <v>#DIV/0!</v>
      </c>
      <c r="E20" s="602"/>
      <c r="F20" s="207"/>
      <c r="G20" s="445"/>
      <c r="I20" s="478" t="s">
        <v>1534</v>
      </c>
      <c r="J20" s="479" t="s">
        <v>9</v>
      </c>
      <c r="K20" s="579">
        <f>K16/K18</f>
        <v>0.22000000000000003</v>
      </c>
      <c r="L20" s="580"/>
    </row>
    <row r="21" spans="1:12" ht="9.75" customHeight="1">
      <c r="A21" s="204"/>
      <c r="B21" s="468" t="s">
        <v>1543</v>
      </c>
      <c r="C21" s="469" t="s">
        <v>9</v>
      </c>
      <c r="D21" s="586">
        <v>1</v>
      </c>
      <c r="E21" s="586"/>
      <c r="F21" s="470"/>
      <c r="G21" s="471"/>
      <c r="H21" s="472"/>
      <c r="I21" s="468" t="s">
        <v>1534</v>
      </c>
      <c r="J21" s="469" t="s">
        <v>9</v>
      </c>
      <c r="K21" s="586">
        <v>1</v>
      </c>
      <c r="L21" s="586"/>
    </row>
    <row r="22" spans="1:12" ht="6.75" customHeight="1">
      <c r="B22" s="458"/>
      <c r="C22" s="455"/>
      <c r="D22" s="466"/>
      <c r="E22" s="466"/>
      <c r="F22" s="207"/>
      <c r="G22" s="445"/>
      <c r="J22" s="455"/>
      <c r="K22" s="466"/>
      <c r="L22" s="466"/>
    </row>
    <row r="23" spans="1:12" ht="15.75" thickBot="1"/>
    <row r="24" spans="1:12" ht="200.25" customHeight="1" thickBot="1">
      <c r="B24" s="583"/>
      <c r="C24" s="584"/>
      <c r="D24" s="584"/>
      <c r="E24" s="585"/>
      <c r="I24" s="583"/>
      <c r="J24" s="584"/>
      <c r="K24" s="584"/>
      <c r="L24" s="585"/>
    </row>
    <row r="26" spans="1:12">
      <c r="D26" s="463"/>
    </row>
    <row r="27" spans="1:12">
      <c r="D27" s="464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Q4 O4">
    <cfRule type="cellIs" dxfId="21" priority="5" stopIfTrue="1" operator="greaterThan">
      <formula>0.89</formula>
    </cfRule>
    <cfRule type="cellIs" dxfId="20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abSelected="1" zoomScale="85" zoomScaleNormal="85" workbookViewId="0">
      <selection activeCell="D16" sqref="D16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3"/>
      <c r="C1" s="603"/>
      <c r="D1" s="603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7">
        <v>1084.1250458865841</v>
      </c>
      <c r="F5" s="492" t="s">
        <v>1611</v>
      </c>
      <c r="K5" s="491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92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11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10659000</v>
      </c>
    </row>
    <row r="10" spans="2:11" ht="20.100000000000001" customHeight="1">
      <c r="B10" s="291" t="s">
        <v>1446</v>
      </c>
      <c r="C10" s="292" t="s">
        <v>9</v>
      </c>
      <c r="D10" s="298">
        <f ca="1">RAB!K74</f>
        <v>20304268.569060002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406085.37138120004</v>
      </c>
    </row>
    <row r="12" spans="2:11" ht="9" customHeight="1">
      <c r="B12" s="604"/>
      <c r="C12" s="604"/>
      <c r="D12" s="604"/>
    </row>
    <row r="13" spans="2:11" ht="15.75" customHeight="1">
      <c r="B13" s="299"/>
      <c r="C13" s="299"/>
      <c r="D13" s="299"/>
    </row>
    <row r="14" spans="2:11" ht="33.75" customHeight="1">
      <c r="B14" s="420" t="s">
        <v>1379</v>
      </c>
      <c r="C14" s="421" t="s">
        <v>9</v>
      </c>
      <c r="D14" s="426" t="s">
        <v>1630</v>
      </c>
      <c r="E14" s="300" t="s">
        <v>1453</v>
      </c>
    </row>
    <row r="15" spans="2:11" ht="20.100000000000001" customHeight="1">
      <c r="B15" s="422" t="s">
        <v>1447</v>
      </c>
      <c r="C15" s="423" t="s">
        <v>9</v>
      </c>
      <c r="D15" s="427" t="s">
        <v>1634</v>
      </c>
      <c r="E15" s="300" t="s">
        <v>1453</v>
      </c>
    </row>
    <row r="16" spans="2:11" ht="20.100000000000001" customHeight="1">
      <c r="B16" s="422" t="s">
        <v>1448</v>
      </c>
      <c r="C16" s="423" t="s">
        <v>9</v>
      </c>
      <c r="D16" s="427" t="s">
        <v>1451</v>
      </c>
      <c r="E16" s="300" t="s">
        <v>1453</v>
      </c>
    </row>
    <row r="17" spans="2:5" ht="20.100000000000001" customHeight="1">
      <c r="B17" s="422" t="s">
        <v>1449</v>
      </c>
      <c r="C17" s="423" t="s">
        <v>9</v>
      </c>
      <c r="D17" s="428">
        <v>0</v>
      </c>
      <c r="E17" s="300" t="s">
        <v>1453</v>
      </c>
    </row>
    <row r="18" spans="2:5" ht="20.100000000000001" hidden="1" customHeight="1">
      <c r="B18" s="422" t="s">
        <v>1546</v>
      </c>
      <c r="C18" s="423"/>
      <c r="D18" s="428">
        <f>IF((D17&lt;=11),1,3)</f>
        <v>1</v>
      </c>
      <c r="E18" s="300"/>
    </row>
    <row r="19" spans="2:5" ht="20.100000000000001" hidden="1" customHeight="1">
      <c r="B19" s="422" t="s">
        <v>1547</v>
      </c>
      <c r="C19" s="423"/>
      <c r="D19" s="428">
        <f>IF((D17&lt;=11),220,380)</f>
        <v>220</v>
      </c>
      <c r="E19" s="300"/>
    </row>
    <row r="20" spans="2:5" ht="20.100000000000001" customHeight="1">
      <c r="B20" s="422" t="s">
        <v>1450</v>
      </c>
      <c r="C20" s="423" t="s">
        <v>9</v>
      </c>
      <c r="D20" s="428">
        <v>11</v>
      </c>
      <c r="E20" s="300" t="s">
        <v>1453</v>
      </c>
    </row>
    <row r="21" spans="2:5" ht="20.100000000000001" customHeight="1">
      <c r="B21" s="422" t="s">
        <v>1546</v>
      </c>
      <c r="C21" s="423"/>
      <c r="D21" s="428">
        <f>IF((D20&lt;=11),1,3)</f>
        <v>1</v>
      </c>
      <c r="E21" s="300"/>
    </row>
    <row r="22" spans="2:5" ht="20.100000000000001" customHeight="1">
      <c r="B22" s="422" t="s">
        <v>1547</v>
      </c>
      <c r="C22" s="423"/>
      <c r="D22" s="428">
        <f>IF((D20&lt;=11),220,380)</f>
        <v>220</v>
      </c>
      <c r="E22" s="300"/>
    </row>
    <row r="23" spans="2:5" ht="20.100000000000001" customHeight="1">
      <c r="B23" s="422" t="s">
        <v>1353</v>
      </c>
      <c r="C23" s="423" t="s">
        <v>9</v>
      </c>
      <c r="D23" s="427">
        <v>1444.7</v>
      </c>
      <c r="E23" s="300" t="s">
        <v>1453</v>
      </c>
    </row>
    <row r="24" spans="2:5" ht="20.100000000000001" customHeight="1">
      <c r="B24" s="422" t="s">
        <v>1354</v>
      </c>
      <c r="C24" s="423" t="s">
        <v>9</v>
      </c>
      <c r="D24" s="427">
        <v>1444.7</v>
      </c>
      <c r="E24" s="300" t="s">
        <v>1453</v>
      </c>
    </row>
    <row r="25" spans="2:5" ht="20.100000000000001" customHeight="1">
      <c r="B25" s="422" t="s">
        <v>1452</v>
      </c>
      <c r="C25" s="423" t="s">
        <v>9</v>
      </c>
      <c r="D25" s="428">
        <v>969</v>
      </c>
      <c r="E25" s="300" t="s">
        <v>1453</v>
      </c>
    </row>
    <row r="26" spans="2:5" ht="20.100000000000001" customHeight="1">
      <c r="B26" s="424" t="s">
        <v>1355</v>
      </c>
      <c r="C26" s="425" t="s">
        <v>9</v>
      </c>
      <c r="D26" s="429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26" activePane="bottomLeft" state="frozen"/>
      <selection activeCell="H1093" sqref="H1093"/>
      <selection pane="bottomLeft" activeCell="H48" sqref="H48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1" t="s">
        <v>1357</v>
      </c>
      <c r="C3" s="611"/>
      <c r="D3" s="611"/>
      <c r="E3" s="611"/>
      <c r="F3" s="305" t="str">
        <f>DATA!D14</f>
        <v>DPU-RUMAH POMPA LOIRENG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5" t="s">
        <v>1349</v>
      </c>
      <c r="C5" s="605" t="s">
        <v>1358</v>
      </c>
      <c r="D5" s="610" t="s">
        <v>1359</v>
      </c>
      <c r="E5" s="610" t="s">
        <v>1360</v>
      </c>
      <c r="F5" s="605" t="s">
        <v>1361</v>
      </c>
      <c r="G5" s="605"/>
      <c r="H5" s="605"/>
      <c r="I5" s="605"/>
      <c r="J5" s="605"/>
      <c r="K5" s="605" t="s">
        <v>1362</v>
      </c>
      <c r="L5" s="605"/>
      <c r="M5" s="307"/>
      <c r="N5" s="608" t="s">
        <v>1363</v>
      </c>
      <c r="O5" s="610" t="s">
        <v>1364</v>
      </c>
      <c r="P5" s="610" t="s">
        <v>1365</v>
      </c>
      <c r="Q5" s="610" t="s">
        <v>1366</v>
      </c>
      <c r="R5" s="308"/>
      <c r="S5" s="309"/>
      <c r="T5" s="606" t="s">
        <v>1367</v>
      </c>
      <c r="U5" s="310"/>
    </row>
    <row r="6" spans="1:21" ht="20.100000000000001" customHeight="1">
      <c r="B6" s="605"/>
      <c r="C6" s="605"/>
      <c r="D6" s="605"/>
      <c r="E6" s="605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09"/>
      <c r="O6" s="605"/>
      <c r="P6" s="605"/>
      <c r="Q6" s="605"/>
      <c r="R6" s="308"/>
      <c r="S6" s="309"/>
      <c r="T6" s="605"/>
      <c r="U6" s="312"/>
    </row>
    <row r="7" spans="1:21" ht="20.100000000000001" customHeight="1">
      <c r="A7" s="313">
        <v>0</v>
      </c>
      <c r="B7" s="314">
        <v>2023</v>
      </c>
      <c r="C7" s="484">
        <f>DATA!D8*DATA!D26*2</f>
        <v>880</v>
      </c>
      <c r="D7" s="316">
        <f>C7*4/24</f>
        <v>146.66666666666666</v>
      </c>
      <c r="E7" s="316">
        <f>C7-D7</f>
        <v>733.33333333333337</v>
      </c>
      <c r="F7" s="317">
        <f ca="1">DATA!D10/1000000</f>
        <v>20.304268569060003</v>
      </c>
      <c r="G7" s="318">
        <f ca="1">DATA!$D$11/1000000</f>
        <v>0.40608537138120004</v>
      </c>
      <c r="H7" s="318">
        <f>C7*DATA!$D$5/1000000</f>
        <v>0.95403004038019401</v>
      </c>
      <c r="I7" s="318">
        <f>(C7*DATA!$D$5*DATA!$D$7)/1000000</f>
        <v>2.1465675908554364E-2</v>
      </c>
      <c r="J7" s="316">
        <f ca="1">SUM(F7:I7)</f>
        <v>21.68584965672995</v>
      </c>
      <c r="K7" s="319">
        <f>DATA!D9/1000000</f>
        <v>10.659000000000001</v>
      </c>
      <c r="L7" s="316">
        <f>((D7*DATA!$D$23)/1000000)+((E7*DATA!$D$24)/1000000)</f>
        <v>1.271336</v>
      </c>
      <c r="M7" s="316">
        <f>K7+L7</f>
        <v>11.930336</v>
      </c>
      <c r="N7" s="316">
        <f ca="1">M7-J7</f>
        <v>-9.7555136567299492</v>
      </c>
      <c r="O7" s="314">
        <v>1</v>
      </c>
      <c r="P7" s="316">
        <f ca="1">O7*N7</f>
        <v>-9.7555136567299492</v>
      </c>
      <c r="Q7" s="316">
        <f ca="1">P7</f>
        <v>-9.7555136567299492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/>
      <c r="D8" s="316">
        <f>C8*4/24</f>
        <v>0</v>
      </c>
      <c r="E8" s="316">
        <f t="shared" ref="E8:E32" si="0">C8-D8</f>
        <v>0</v>
      </c>
      <c r="F8" s="314"/>
      <c r="G8" s="318">
        <f ca="1">DATA!$D$11/1000000</f>
        <v>0.40608537138120004</v>
      </c>
      <c r="H8" s="318">
        <f>C8*DATA!$D$5/1000000</f>
        <v>0</v>
      </c>
      <c r="I8" s="318">
        <f>(C8*DATA!$D$5*DATA!$D$7)/1000000</f>
        <v>0</v>
      </c>
      <c r="J8" s="316">
        <f t="shared" ref="J8:J32" ca="1" si="1">SUM(F8:I8)</f>
        <v>0.40608537138120004</v>
      </c>
      <c r="K8" s="321"/>
      <c r="L8" s="316">
        <f>((D8*DATA!$D$23)/1000000)+((E8*DATA!$D$24)/1000000)</f>
        <v>0</v>
      </c>
      <c r="M8" s="316">
        <f t="shared" ref="M8:M32" si="2">K8+L8</f>
        <v>0</v>
      </c>
      <c r="N8" s="316">
        <f ca="1">M8-J8</f>
        <v>-0.40608537138120004</v>
      </c>
      <c r="O8" s="315">
        <f>1/(1+'[93]Asumsi I'!$C$3)^(KKF!A8)</f>
        <v>0.89285714285714279</v>
      </c>
      <c r="P8" s="316">
        <f ca="1">O8*N8</f>
        <v>-0.36257622444750004</v>
      </c>
      <c r="Q8" s="316">
        <f ca="1">Q7+P8</f>
        <v>-10.118089881177449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0</v>
      </c>
      <c r="D9" s="316">
        <f t="shared" ref="D9:D32" si="5">C9*4/24</f>
        <v>0</v>
      </c>
      <c r="E9" s="316">
        <f t="shared" si="0"/>
        <v>0</v>
      </c>
      <c r="F9" s="314"/>
      <c r="G9" s="318">
        <f ca="1">DATA!$D$11/1000000</f>
        <v>0.40608537138120004</v>
      </c>
      <c r="H9" s="318">
        <f>C9*DATA!$D$5/1000000</f>
        <v>0</v>
      </c>
      <c r="I9" s="318">
        <f>(C9*DATA!$D$5*DATA!$D$7)/1000000</f>
        <v>0</v>
      </c>
      <c r="J9" s="316">
        <f t="shared" ca="1" si="1"/>
        <v>0.40608537138120004</v>
      </c>
      <c r="K9" s="316"/>
      <c r="L9" s="316">
        <f>((D9*DATA!$D$23)/1000000)+((E9*DATA!$D$24)/1000000)</f>
        <v>0</v>
      </c>
      <c r="M9" s="316">
        <f t="shared" si="2"/>
        <v>0</v>
      </c>
      <c r="N9" s="316">
        <f t="shared" ref="N9:N32" ca="1" si="6">M9-J9</f>
        <v>-0.40608537138120004</v>
      </c>
      <c r="O9" s="322">
        <f>1/(1+'[93]Asumsi I'!$C$3)^(KKF!A9)</f>
        <v>0.79719387755102034</v>
      </c>
      <c r="P9" s="316">
        <f t="shared" ref="P9:P32" ca="1" si="7">O9*N9</f>
        <v>-0.32372877182812498</v>
      </c>
      <c r="Q9" s="316">
        <f ca="1">Q8+P9</f>
        <v>-10.441818653005573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0</v>
      </c>
      <c r="D10" s="316">
        <f t="shared" si="5"/>
        <v>0</v>
      </c>
      <c r="E10" s="316">
        <f t="shared" si="0"/>
        <v>0</v>
      </c>
      <c r="F10" s="314"/>
      <c r="G10" s="318">
        <f ca="1">DATA!$D$11/1000000</f>
        <v>0.40608537138120004</v>
      </c>
      <c r="H10" s="318">
        <f>C10*DATA!$D$5/1000000</f>
        <v>0</v>
      </c>
      <c r="I10" s="318">
        <f>(C10*DATA!$D$5*DATA!$D$7)/1000000</f>
        <v>0</v>
      </c>
      <c r="J10" s="316">
        <f t="shared" ca="1" si="1"/>
        <v>0.40608537138120004</v>
      </c>
      <c r="K10" s="314"/>
      <c r="L10" s="316">
        <f>((D10*DATA!$D$23)/1000000)+((E10*DATA!$D$24)/1000000)</f>
        <v>0</v>
      </c>
      <c r="M10" s="316">
        <f t="shared" si="2"/>
        <v>0</v>
      </c>
      <c r="N10" s="316">
        <f t="shared" ca="1" si="6"/>
        <v>-0.40608537138120004</v>
      </c>
      <c r="O10" s="315">
        <f>1/(1+'[93]Asumsi I'!$C$3)^(KKF!A10)</f>
        <v>0.71178024781341087</v>
      </c>
      <c r="P10" s="316">
        <f t="shared" ca="1" si="7"/>
        <v>-0.28904354627511153</v>
      </c>
      <c r="Q10" s="316">
        <f t="shared" ref="Q10:Q30" ca="1" si="9">Q9+P10</f>
        <v>-10.730862199280685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0</v>
      </c>
      <c r="D11" s="316">
        <f t="shared" si="5"/>
        <v>0</v>
      </c>
      <c r="E11" s="316">
        <f t="shared" si="0"/>
        <v>0</v>
      </c>
      <c r="F11" s="314"/>
      <c r="G11" s="318">
        <f ca="1">DATA!$D$11/1000000</f>
        <v>0.40608537138120004</v>
      </c>
      <c r="H11" s="318">
        <f>C11*DATA!$D$5/1000000</f>
        <v>0</v>
      </c>
      <c r="I11" s="318">
        <f>(C11*DATA!$D$5*DATA!$D$7)/1000000</f>
        <v>0</v>
      </c>
      <c r="J11" s="316">
        <f t="shared" ca="1" si="1"/>
        <v>0.40608537138120004</v>
      </c>
      <c r="K11" s="314"/>
      <c r="L11" s="316">
        <f>((D11*DATA!$D$23)/1000000)+((E11*DATA!$D$24)/1000000)</f>
        <v>0</v>
      </c>
      <c r="M11" s="316">
        <f t="shared" si="2"/>
        <v>0</v>
      </c>
      <c r="N11" s="316">
        <f t="shared" ca="1" si="6"/>
        <v>-0.40608537138120004</v>
      </c>
      <c r="O11" s="315">
        <f>1/(1+'[93]Asumsi I'!$C$3)^(KKF!A11)</f>
        <v>0.63551807840483121</v>
      </c>
      <c r="P11" s="316">
        <f t="shared" ca="1" si="7"/>
        <v>-0.25807459488849249</v>
      </c>
      <c r="Q11" s="316">
        <f t="shared" ca="1" si="9"/>
        <v>-10.988936794169177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0</v>
      </c>
      <c r="D12" s="316">
        <f t="shared" si="5"/>
        <v>0</v>
      </c>
      <c r="E12" s="316">
        <f t="shared" si="0"/>
        <v>0</v>
      </c>
      <c r="F12" s="314"/>
      <c r="G12" s="318">
        <f ca="1">DATA!$D$11/1000000</f>
        <v>0.40608537138120004</v>
      </c>
      <c r="H12" s="318">
        <f>C12*DATA!$D$5/1000000</f>
        <v>0</v>
      </c>
      <c r="I12" s="318">
        <f>(C12*DATA!$D$5*DATA!$D$7)/1000000</f>
        <v>0</v>
      </c>
      <c r="J12" s="316">
        <f t="shared" ca="1" si="1"/>
        <v>0.40608537138120004</v>
      </c>
      <c r="K12" s="314"/>
      <c r="L12" s="316">
        <f>((D12*DATA!$D$23)/1000000)+((E12*DATA!$D$24)/1000000)</f>
        <v>0</v>
      </c>
      <c r="M12" s="316">
        <f t="shared" si="2"/>
        <v>0</v>
      </c>
      <c r="N12" s="316">
        <f t="shared" ca="1" si="6"/>
        <v>-0.40608537138120004</v>
      </c>
      <c r="O12" s="315">
        <f>1/(1+'[93]Asumsi I'!$C$3)^(KKF!A12)</f>
        <v>0.56742685571859919</v>
      </c>
      <c r="P12" s="316">
        <f t="shared" ca="1" si="7"/>
        <v>-0.23042374543615396</v>
      </c>
      <c r="Q12" s="316">
        <f t="shared" ca="1" si="9"/>
        <v>-11.219360539605331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0</v>
      </c>
      <c r="D13" s="316">
        <f t="shared" si="5"/>
        <v>0</v>
      </c>
      <c r="E13" s="316">
        <f t="shared" si="0"/>
        <v>0</v>
      </c>
      <c r="F13" s="314"/>
      <c r="G13" s="318">
        <f ca="1">DATA!$D$11/1000000</f>
        <v>0.40608537138120004</v>
      </c>
      <c r="H13" s="318">
        <f>C13*DATA!$D$5/1000000</f>
        <v>0</v>
      </c>
      <c r="I13" s="318">
        <f>(C13*DATA!$D$5*DATA!$D$7)/1000000</f>
        <v>0</v>
      </c>
      <c r="J13" s="316">
        <f t="shared" ca="1" si="1"/>
        <v>0.40608537138120004</v>
      </c>
      <c r="K13" s="314"/>
      <c r="L13" s="316">
        <f>((D13*DATA!$D$23)/1000000)+((E13*DATA!$D$24)/1000000)</f>
        <v>0</v>
      </c>
      <c r="M13" s="316">
        <f t="shared" si="2"/>
        <v>0</v>
      </c>
      <c r="N13" s="316">
        <f t="shared" ca="1" si="6"/>
        <v>-0.40608537138120004</v>
      </c>
      <c r="O13" s="315">
        <f>1/(1+'[93]Asumsi I'!$C$3)^(KKF!A13)</f>
        <v>0.50663112117732068</v>
      </c>
      <c r="P13" s="316">
        <f t="shared" ca="1" si="7"/>
        <v>-0.20573548699656602</v>
      </c>
      <c r="Q13" s="316">
        <f t="shared" ca="1" si="9"/>
        <v>-11.425096026601897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0</v>
      </c>
      <c r="D14" s="316">
        <f t="shared" si="5"/>
        <v>0</v>
      </c>
      <c r="E14" s="316">
        <f t="shared" si="0"/>
        <v>0</v>
      </c>
      <c r="F14" s="314"/>
      <c r="G14" s="318">
        <f ca="1">DATA!$D$11/1000000</f>
        <v>0.40608537138120004</v>
      </c>
      <c r="H14" s="318">
        <f>C14*DATA!$D$5/1000000</f>
        <v>0</v>
      </c>
      <c r="I14" s="318">
        <f>(C14*DATA!$D$5*DATA!$D$7)/1000000</f>
        <v>0</v>
      </c>
      <c r="J14" s="316">
        <f t="shared" ca="1" si="1"/>
        <v>0.40608537138120004</v>
      </c>
      <c r="K14" s="314"/>
      <c r="L14" s="316">
        <f>((D14*DATA!$D$23)/1000000)+((E14*DATA!$D$24)/1000000)</f>
        <v>0</v>
      </c>
      <c r="M14" s="316">
        <f t="shared" si="2"/>
        <v>0</v>
      </c>
      <c r="N14" s="316">
        <f t="shared" ca="1" si="6"/>
        <v>-0.40608537138120004</v>
      </c>
      <c r="O14" s="315">
        <f>1/(1+'[93]Asumsi I'!$C$3)^(KKF!A14)</f>
        <v>0.45234921533689343</v>
      </c>
      <c r="P14" s="316">
        <f t="shared" ca="1" si="7"/>
        <v>-0.18369239910407681</v>
      </c>
      <c r="Q14" s="316">
        <f t="shared" ca="1" si="9"/>
        <v>-11.608788425705974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0</v>
      </c>
      <c r="D15" s="316">
        <f t="shared" si="5"/>
        <v>0</v>
      </c>
      <c r="E15" s="316">
        <f t="shared" si="0"/>
        <v>0</v>
      </c>
      <c r="F15" s="314"/>
      <c r="G15" s="318">
        <f ca="1">DATA!$D$11/1000000</f>
        <v>0.40608537138120004</v>
      </c>
      <c r="H15" s="318">
        <f>C15*DATA!$D$5/1000000</f>
        <v>0</v>
      </c>
      <c r="I15" s="318">
        <f>(C15*DATA!$D$5*DATA!$D$7)/1000000</f>
        <v>0</v>
      </c>
      <c r="J15" s="316">
        <f t="shared" ca="1" si="1"/>
        <v>0.40608537138120004</v>
      </c>
      <c r="K15" s="314"/>
      <c r="L15" s="316">
        <f>((D15*DATA!$D$23)/1000000)+((E15*DATA!$D$24)/1000000)</f>
        <v>0</v>
      </c>
      <c r="M15" s="316">
        <f t="shared" si="2"/>
        <v>0</v>
      </c>
      <c r="N15" s="316">
        <f t="shared" ca="1" si="6"/>
        <v>-0.40608537138120004</v>
      </c>
      <c r="O15" s="315">
        <f>1/(1+'[93]Asumsi I'!$C$3)^(KKF!A15)</f>
        <v>0.4038832279793691</v>
      </c>
      <c r="P15" s="316">
        <f t="shared" ca="1" si="7"/>
        <v>-0.16401107062863998</v>
      </c>
      <c r="Q15" s="316">
        <f t="shared" ca="1" si="9"/>
        <v>-11.772799496334613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0</v>
      </c>
      <c r="D16" s="316">
        <f t="shared" si="5"/>
        <v>0</v>
      </c>
      <c r="E16" s="316">
        <f t="shared" si="0"/>
        <v>0</v>
      </c>
      <c r="F16" s="314"/>
      <c r="G16" s="318">
        <f ca="1">DATA!$D$11/1000000</f>
        <v>0.40608537138120004</v>
      </c>
      <c r="H16" s="318">
        <f>C16*DATA!$D$5/1000000</f>
        <v>0</v>
      </c>
      <c r="I16" s="318">
        <f>(C16*DATA!$D$5*DATA!$D$7)/1000000</f>
        <v>0</v>
      </c>
      <c r="J16" s="316">
        <f t="shared" ca="1" si="1"/>
        <v>0.40608537138120004</v>
      </c>
      <c r="K16" s="314"/>
      <c r="L16" s="316">
        <f>((D16*DATA!$D$23)/1000000)+((E16*DATA!$D$24)/1000000)</f>
        <v>0</v>
      </c>
      <c r="M16" s="316">
        <f t="shared" si="2"/>
        <v>0</v>
      </c>
      <c r="N16" s="316">
        <f t="shared" ca="1" si="6"/>
        <v>-0.40608537138120004</v>
      </c>
      <c r="O16" s="315">
        <f>1/(1+'[93]Asumsi I'!$C$3)^(KKF!A16)</f>
        <v>0.36061002498157957</v>
      </c>
      <c r="P16" s="316">
        <f t="shared" ca="1" si="7"/>
        <v>-0.14643845591842858</v>
      </c>
      <c r="Q16" s="316">
        <f t="shared" ca="1" si="9"/>
        <v>-11.919237952253042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0</v>
      </c>
      <c r="D17" s="316">
        <f t="shared" si="5"/>
        <v>0</v>
      </c>
      <c r="E17" s="316">
        <f t="shared" si="0"/>
        <v>0</v>
      </c>
      <c r="F17" s="314"/>
      <c r="G17" s="318">
        <f ca="1">DATA!$D$11/1000000</f>
        <v>0.40608537138120004</v>
      </c>
      <c r="H17" s="318">
        <f>C17*DATA!$D$5/1000000</f>
        <v>0</v>
      </c>
      <c r="I17" s="318">
        <f>(C17*DATA!$D$5*DATA!$D$7)/1000000</f>
        <v>0</v>
      </c>
      <c r="J17" s="316">
        <f t="shared" ca="1" si="1"/>
        <v>0.40608537138120004</v>
      </c>
      <c r="K17" s="314"/>
      <c r="L17" s="316">
        <f>((D17*DATA!$D$23)/1000000)+((E17*DATA!$D$24)/1000000)</f>
        <v>0</v>
      </c>
      <c r="M17" s="316">
        <f t="shared" si="2"/>
        <v>0</v>
      </c>
      <c r="N17" s="316">
        <f t="shared" ca="1" si="6"/>
        <v>-0.40608537138120004</v>
      </c>
      <c r="O17" s="315">
        <f>1/(1+'[93]Asumsi I'!$C$3)^(KKF!A17)</f>
        <v>0.32197323659069599</v>
      </c>
      <c r="P17" s="316">
        <f t="shared" ca="1" si="7"/>
        <v>-0.13074862135573978</v>
      </c>
      <c r="Q17" s="316">
        <f t="shared" ca="1" si="9"/>
        <v>-12.049986573608781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0</v>
      </c>
      <c r="D18" s="316">
        <f t="shared" si="5"/>
        <v>0</v>
      </c>
      <c r="E18" s="316">
        <f t="shared" si="0"/>
        <v>0</v>
      </c>
      <c r="F18" s="314"/>
      <c r="G18" s="318">
        <f ca="1">DATA!$D$11/1000000</f>
        <v>0.40608537138120004</v>
      </c>
      <c r="H18" s="318">
        <f>C18*DATA!$D$5/1000000</f>
        <v>0</v>
      </c>
      <c r="I18" s="318">
        <f>(C18*DATA!$D$5*DATA!$D$7)/1000000</f>
        <v>0</v>
      </c>
      <c r="J18" s="316">
        <f t="shared" ca="1" si="1"/>
        <v>0.40608537138120004</v>
      </c>
      <c r="K18" s="314"/>
      <c r="L18" s="316">
        <f>((D18*DATA!$D$23)/1000000)+((E18*DATA!$D$24)/1000000)</f>
        <v>0</v>
      </c>
      <c r="M18" s="316">
        <f t="shared" si="2"/>
        <v>0</v>
      </c>
      <c r="N18" s="316">
        <f t="shared" ca="1" si="6"/>
        <v>-0.40608537138120004</v>
      </c>
      <c r="O18" s="315">
        <f>1/(1+'[93]Asumsi I'!$C$3)^(KKF!A18)</f>
        <v>0.28747610409883567</v>
      </c>
      <c r="P18" s="316">
        <f t="shared" ca="1" si="7"/>
        <v>-0.11673984049619621</v>
      </c>
      <c r="Q18" s="316">
        <f t="shared" ca="1" si="9"/>
        <v>-12.166726414104977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0</v>
      </c>
      <c r="D19" s="316">
        <f t="shared" si="5"/>
        <v>0</v>
      </c>
      <c r="E19" s="316">
        <f t="shared" si="0"/>
        <v>0</v>
      </c>
      <c r="F19" s="314"/>
      <c r="G19" s="318">
        <f ca="1">DATA!$D$11/1000000</f>
        <v>0.40608537138120004</v>
      </c>
      <c r="H19" s="318">
        <f>C19*DATA!$D$5/1000000</f>
        <v>0</v>
      </c>
      <c r="I19" s="318">
        <f>(C19*DATA!$D$5*DATA!$D$7)/1000000</f>
        <v>0</v>
      </c>
      <c r="J19" s="316">
        <f t="shared" ca="1" si="1"/>
        <v>0.40608537138120004</v>
      </c>
      <c r="K19" s="314"/>
      <c r="L19" s="316">
        <f>((D19*DATA!$D$23)/1000000)+((E19*DATA!$D$24)/1000000)</f>
        <v>0</v>
      </c>
      <c r="M19" s="316">
        <f t="shared" si="2"/>
        <v>0</v>
      </c>
      <c r="N19" s="316">
        <f t="shared" ca="1" si="6"/>
        <v>-0.40608537138120004</v>
      </c>
      <c r="O19" s="315">
        <f>1/(1+'[93]Asumsi I'!$C$3)^(KKF!A19)</f>
        <v>0.25667509294538904</v>
      </c>
      <c r="P19" s="316">
        <f t="shared" ca="1" si="7"/>
        <v>-0.10423200044303235</v>
      </c>
      <c r="Q19" s="316">
        <f t="shared" ca="1" si="9"/>
        <v>-12.270958414548009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0</v>
      </c>
      <c r="D20" s="316">
        <f t="shared" si="5"/>
        <v>0</v>
      </c>
      <c r="E20" s="316">
        <f t="shared" si="0"/>
        <v>0</v>
      </c>
      <c r="F20" s="314"/>
      <c r="G20" s="318">
        <f ca="1">DATA!$D$11/1000000</f>
        <v>0.40608537138120004</v>
      </c>
      <c r="H20" s="318">
        <f>C20*DATA!$D$5/1000000</f>
        <v>0</v>
      </c>
      <c r="I20" s="318">
        <f>(C20*DATA!$D$5*DATA!$D$7)/1000000</f>
        <v>0</v>
      </c>
      <c r="J20" s="316">
        <f t="shared" ca="1" si="1"/>
        <v>0.40608537138120004</v>
      </c>
      <c r="K20" s="314"/>
      <c r="L20" s="316">
        <f>((D20*DATA!$D$23)/1000000)+((E20*DATA!$D$24)/1000000)</f>
        <v>0</v>
      </c>
      <c r="M20" s="316">
        <f t="shared" si="2"/>
        <v>0</v>
      </c>
      <c r="N20" s="316">
        <f t="shared" ca="1" si="6"/>
        <v>-0.40608537138120004</v>
      </c>
      <c r="O20" s="315">
        <f>1/(1+'[93]Asumsi I'!$C$3)^(KKF!A20)</f>
        <v>0.22917419012981158</v>
      </c>
      <c r="P20" s="316">
        <f t="shared" ca="1" si="7"/>
        <v>-9.3064286109850278E-2</v>
      </c>
      <c r="Q20" s="316">
        <f t="shared" ca="1" si="9"/>
        <v>-12.364022700657859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0</v>
      </c>
      <c r="D21" s="316">
        <f t="shared" si="5"/>
        <v>0</v>
      </c>
      <c r="E21" s="316">
        <f t="shared" si="0"/>
        <v>0</v>
      </c>
      <c r="F21" s="314"/>
      <c r="G21" s="318">
        <f ca="1">DATA!$D$11/1000000</f>
        <v>0.40608537138120004</v>
      </c>
      <c r="H21" s="318">
        <f>C21*DATA!$D$5/1000000</f>
        <v>0</v>
      </c>
      <c r="I21" s="318">
        <f>(C21*DATA!$D$5*DATA!$D$7)/1000000</f>
        <v>0</v>
      </c>
      <c r="J21" s="316">
        <f t="shared" ca="1" si="1"/>
        <v>0.40608537138120004</v>
      </c>
      <c r="K21" s="314"/>
      <c r="L21" s="316">
        <f>((D21*DATA!$D$23)/1000000)+((E21*DATA!$D$24)/1000000)</f>
        <v>0</v>
      </c>
      <c r="M21" s="316">
        <f t="shared" si="2"/>
        <v>0</v>
      </c>
      <c r="N21" s="316">
        <f t="shared" ca="1" si="6"/>
        <v>-0.40608537138120004</v>
      </c>
      <c r="O21" s="315">
        <f>1/(1+'[93]Asumsi I'!$C$3)^(KKF!A21)</f>
        <v>0.20461981261590317</v>
      </c>
      <c r="P21" s="316">
        <f t="shared" ca="1" si="7"/>
        <v>-8.3093112598080596E-2</v>
      </c>
      <c r="Q21" s="316">
        <f t="shared" ca="1" si="9"/>
        <v>-12.447115813255939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0</v>
      </c>
      <c r="D22" s="316">
        <f t="shared" si="5"/>
        <v>0</v>
      </c>
      <c r="E22" s="316">
        <f t="shared" si="0"/>
        <v>0</v>
      </c>
      <c r="F22" s="314"/>
      <c r="G22" s="318">
        <f ca="1">DATA!$D$11/1000000</f>
        <v>0.40608537138120004</v>
      </c>
      <c r="H22" s="318">
        <f>C22*DATA!$D$5/1000000</f>
        <v>0</v>
      </c>
      <c r="I22" s="318">
        <f>(C22*DATA!$D$5*DATA!$D$7)/1000000</f>
        <v>0</v>
      </c>
      <c r="J22" s="316">
        <f t="shared" ca="1" si="1"/>
        <v>0.40608537138120004</v>
      </c>
      <c r="K22" s="314"/>
      <c r="L22" s="316">
        <f>((D22*DATA!$D$23)/1000000)+((E22*DATA!$D$24)/1000000)</f>
        <v>0</v>
      </c>
      <c r="M22" s="316">
        <f t="shared" si="2"/>
        <v>0</v>
      </c>
      <c r="N22" s="316">
        <f t="shared" ca="1" si="6"/>
        <v>-0.40608537138120004</v>
      </c>
      <c r="O22" s="315">
        <f>1/(1+'[93]Asumsi I'!$C$3)^(KKF!A22)</f>
        <v>0.18269626126419927</v>
      </c>
      <c r="P22" s="316">
        <f t="shared" ca="1" si="7"/>
        <v>-7.4190279105429108E-2</v>
      </c>
      <c r="Q22" s="316">
        <f t="shared" ca="1" si="9"/>
        <v>-12.521306092361367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0</v>
      </c>
      <c r="D23" s="316">
        <f t="shared" si="5"/>
        <v>0</v>
      </c>
      <c r="E23" s="316">
        <f t="shared" si="0"/>
        <v>0</v>
      </c>
      <c r="F23" s="314"/>
      <c r="G23" s="318">
        <f ca="1">DATA!$D$11/1000000</f>
        <v>0.40608537138120004</v>
      </c>
      <c r="H23" s="318">
        <f>C23*DATA!$D$5/1000000</f>
        <v>0</v>
      </c>
      <c r="I23" s="318">
        <f>(C23*DATA!$D$5*DATA!$D$7)/1000000</f>
        <v>0</v>
      </c>
      <c r="J23" s="316">
        <f t="shared" ca="1" si="1"/>
        <v>0.40608537138120004</v>
      </c>
      <c r="K23" s="314"/>
      <c r="L23" s="316">
        <f>((D23*DATA!$D$23)/1000000)+((E23*DATA!$D$24)/1000000)</f>
        <v>0</v>
      </c>
      <c r="M23" s="316">
        <f t="shared" si="2"/>
        <v>0</v>
      </c>
      <c r="N23" s="316">
        <f t="shared" ca="1" si="6"/>
        <v>-0.40608537138120004</v>
      </c>
      <c r="O23" s="315">
        <f>1/(1+'[93]Asumsi I'!$C$3)^(KKF!A23)</f>
        <v>0.16312166184303503</v>
      </c>
      <c r="P23" s="316">
        <f t="shared" ca="1" si="7"/>
        <v>-6.6241320629847403E-2</v>
      </c>
      <c r="Q23" s="316">
        <f t="shared" ca="1" si="9"/>
        <v>-12.587547412991215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0</v>
      </c>
      <c r="D24" s="316">
        <f t="shared" si="5"/>
        <v>0</v>
      </c>
      <c r="E24" s="316">
        <f t="shared" si="0"/>
        <v>0</v>
      </c>
      <c r="F24" s="314"/>
      <c r="G24" s="318">
        <f ca="1">DATA!$D$11/1000000</f>
        <v>0.40608537138120004</v>
      </c>
      <c r="H24" s="318">
        <f>C24*DATA!$D$5/1000000</f>
        <v>0</v>
      </c>
      <c r="I24" s="318">
        <f>(C24*DATA!$D$5*DATA!$D$7)/1000000</f>
        <v>0</v>
      </c>
      <c r="J24" s="316">
        <f t="shared" ca="1" si="1"/>
        <v>0.40608537138120004</v>
      </c>
      <c r="K24" s="314"/>
      <c r="L24" s="316">
        <f>((D24*DATA!$D$23)/1000000)+((E24*DATA!$D$24)/1000000)</f>
        <v>0</v>
      </c>
      <c r="M24" s="316">
        <f t="shared" si="2"/>
        <v>0</v>
      </c>
      <c r="N24" s="316">
        <f t="shared" ca="1" si="6"/>
        <v>-0.40608537138120004</v>
      </c>
      <c r="O24" s="315">
        <f>1/(1+'[93]Asumsi I'!$C$3)^(KKF!A24)</f>
        <v>0.14564434093128129</v>
      </c>
      <c r="P24" s="316">
        <f t="shared" ca="1" si="7"/>
        <v>-5.9144036276649478E-2</v>
      </c>
      <c r="Q24" s="316">
        <f t="shared" ca="1" si="9"/>
        <v>-12.646691449267864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0</v>
      </c>
      <c r="D25" s="316">
        <f t="shared" si="5"/>
        <v>0</v>
      </c>
      <c r="E25" s="316">
        <f t="shared" si="0"/>
        <v>0</v>
      </c>
      <c r="F25" s="314"/>
      <c r="G25" s="318">
        <f ca="1">DATA!$D$11/1000000</f>
        <v>0.40608537138120004</v>
      </c>
      <c r="H25" s="318">
        <f>C25*DATA!$D$5/1000000</f>
        <v>0</v>
      </c>
      <c r="I25" s="318">
        <f>(C25*DATA!$D$5*DATA!$D$7)/1000000</f>
        <v>0</v>
      </c>
      <c r="J25" s="316">
        <f t="shared" ca="1" si="1"/>
        <v>0.40608537138120004</v>
      </c>
      <c r="K25" s="314"/>
      <c r="L25" s="316">
        <f>((D25*DATA!$D$23)/1000000)+((E25*DATA!$D$24)/1000000)</f>
        <v>0</v>
      </c>
      <c r="M25" s="316">
        <f t="shared" si="2"/>
        <v>0</v>
      </c>
      <c r="N25" s="316">
        <f t="shared" ca="1" si="6"/>
        <v>-0.40608537138120004</v>
      </c>
      <c r="O25" s="315">
        <f>1/(1+'[93]Asumsi I'!$C$3)^(KKF!A25)</f>
        <v>0.13003959011721541</v>
      </c>
      <c r="P25" s="316">
        <f t="shared" ca="1" si="7"/>
        <v>-5.2807175247008453E-2</v>
      </c>
      <c r="Q25" s="316">
        <f t="shared" ca="1" si="9"/>
        <v>-12.699498624514872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0</v>
      </c>
      <c r="D26" s="316">
        <f t="shared" si="5"/>
        <v>0</v>
      </c>
      <c r="E26" s="316">
        <f t="shared" si="0"/>
        <v>0</v>
      </c>
      <c r="F26" s="314"/>
      <c r="G26" s="318">
        <f ca="1">DATA!$D$11/1000000</f>
        <v>0.40608537138120004</v>
      </c>
      <c r="H26" s="318">
        <f>C26*DATA!$D$5/1000000</f>
        <v>0</v>
      </c>
      <c r="I26" s="318">
        <f>(C26*DATA!$D$5*DATA!$D$7)/1000000</f>
        <v>0</v>
      </c>
      <c r="J26" s="316">
        <f t="shared" ca="1" si="1"/>
        <v>0.40608537138120004</v>
      </c>
      <c r="K26" s="314"/>
      <c r="L26" s="316">
        <f>((D26*DATA!$D$23)/1000000)+((E26*DATA!$D$24)/1000000)</f>
        <v>0</v>
      </c>
      <c r="M26" s="316">
        <f t="shared" si="2"/>
        <v>0</v>
      </c>
      <c r="N26" s="316">
        <f t="shared" ca="1" si="6"/>
        <v>-0.40608537138120004</v>
      </c>
      <c r="O26" s="315">
        <f>1/(1+'[93]Asumsi I'!$C$3)^(KKF!A26)</f>
        <v>0.1161067768903709</v>
      </c>
      <c r="P26" s="316">
        <f t="shared" ca="1" si="7"/>
        <v>-4.7149263613400404E-2</v>
      </c>
      <c r="Q26" s="316">
        <f t="shared" ca="1" si="9"/>
        <v>-12.746647888128273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0</v>
      </c>
      <c r="D27" s="316">
        <f t="shared" si="5"/>
        <v>0</v>
      </c>
      <c r="E27" s="316">
        <f t="shared" si="0"/>
        <v>0</v>
      </c>
      <c r="F27" s="314"/>
      <c r="G27" s="318">
        <f ca="1">DATA!$D$11/1000000</f>
        <v>0.40608537138120004</v>
      </c>
      <c r="H27" s="318">
        <f>C27*DATA!$D$5/1000000</f>
        <v>0</v>
      </c>
      <c r="I27" s="318">
        <f>(C27*DATA!$D$5*DATA!$D$7)/1000000</f>
        <v>0</v>
      </c>
      <c r="J27" s="316">
        <f t="shared" ca="1" si="1"/>
        <v>0.40608537138120004</v>
      </c>
      <c r="K27" s="314"/>
      <c r="L27" s="316">
        <f>((D27*DATA!$D$23)/1000000)+((E27*DATA!$D$24)/1000000)</f>
        <v>0</v>
      </c>
      <c r="M27" s="316">
        <f t="shared" si="2"/>
        <v>0</v>
      </c>
      <c r="N27" s="316">
        <f t="shared" ca="1" si="6"/>
        <v>-0.40608537138120004</v>
      </c>
      <c r="O27" s="315">
        <f>1/(1+'[93]Asumsi I'!$C$3)^(KKF!A27)</f>
        <v>0.1036667650806883</v>
      </c>
      <c r="P27" s="316">
        <f t="shared" ca="1" si="7"/>
        <v>-4.2097556797678924E-2</v>
      </c>
      <c r="Q27" s="316">
        <f t="shared" ca="1" si="9"/>
        <v>-12.788745444925951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0</v>
      </c>
      <c r="D28" s="316">
        <f t="shared" si="5"/>
        <v>0</v>
      </c>
      <c r="E28" s="316">
        <f t="shared" si="0"/>
        <v>0</v>
      </c>
      <c r="F28" s="314"/>
      <c r="G28" s="318">
        <f ca="1">DATA!$D$11/1000000</f>
        <v>0.40608537138120004</v>
      </c>
      <c r="H28" s="318">
        <f>C28*DATA!$D$5/1000000</f>
        <v>0</v>
      </c>
      <c r="I28" s="318">
        <f>(C28*DATA!$D$5*DATA!$D$7)/1000000</f>
        <v>0</v>
      </c>
      <c r="J28" s="316">
        <f t="shared" ca="1" si="1"/>
        <v>0.40608537138120004</v>
      </c>
      <c r="K28" s="314"/>
      <c r="L28" s="316">
        <f>((D28*DATA!$D$23)/1000000)+((E28*DATA!$D$24)/1000000)</f>
        <v>0</v>
      </c>
      <c r="M28" s="316">
        <f t="shared" si="2"/>
        <v>0</v>
      </c>
      <c r="N28" s="316">
        <f t="shared" ca="1" si="6"/>
        <v>-0.40608537138120004</v>
      </c>
      <c r="O28" s="315">
        <f>1/(1+'[93]Asumsi I'!$C$3)^(KKF!A28)</f>
        <v>9.2559611679185971E-2</v>
      </c>
      <c r="P28" s="316">
        <f t="shared" ca="1" si="7"/>
        <v>-3.7587104283641898E-2</v>
      </c>
      <c r="Q28" s="316">
        <f t="shared" ca="1" si="9"/>
        <v>-12.826332549209592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0</v>
      </c>
      <c r="D29" s="316">
        <f t="shared" si="5"/>
        <v>0</v>
      </c>
      <c r="E29" s="316">
        <f t="shared" si="0"/>
        <v>0</v>
      </c>
      <c r="F29" s="314"/>
      <c r="G29" s="318">
        <f ca="1">DATA!$D$11/1000000</f>
        <v>0.40608537138120004</v>
      </c>
      <c r="H29" s="318">
        <f>C29*DATA!$D$5/1000000</f>
        <v>0</v>
      </c>
      <c r="I29" s="318">
        <f>(C29*DATA!$D$5*DATA!$D$7)/1000000</f>
        <v>0</v>
      </c>
      <c r="J29" s="316">
        <f t="shared" ca="1" si="1"/>
        <v>0.40608537138120004</v>
      </c>
      <c r="K29" s="314"/>
      <c r="L29" s="316">
        <f>((D29*DATA!$D$23)/1000000)+((E29*DATA!$D$24)/1000000)</f>
        <v>0</v>
      </c>
      <c r="M29" s="316">
        <f t="shared" si="2"/>
        <v>0</v>
      </c>
      <c r="N29" s="316">
        <f t="shared" ca="1" si="6"/>
        <v>-0.40608537138120004</v>
      </c>
      <c r="O29" s="315">
        <f>1/(1+'[93]Asumsi I'!$C$3)^(KKF!A29)</f>
        <v>8.2642510427844609E-2</v>
      </c>
      <c r="P29" s="316">
        <f t="shared" ca="1" si="7"/>
        <v>-3.3559914538965972E-2</v>
      </c>
      <c r="Q29" s="316">
        <f t="shared" ca="1" si="9"/>
        <v>-12.859892463748558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0</v>
      </c>
      <c r="D30" s="316">
        <f t="shared" si="5"/>
        <v>0</v>
      </c>
      <c r="E30" s="316">
        <f t="shared" si="0"/>
        <v>0</v>
      </c>
      <c r="F30" s="314"/>
      <c r="G30" s="318">
        <f ca="1">DATA!$D$11/1000000</f>
        <v>0.40608537138120004</v>
      </c>
      <c r="H30" s="318">
        <f>C30*DATA!$D$5/1000000</f>
        <v>0</v>
      </c>
      <c r="I30" s="318">
        <f>(C30*DATA!$D$5*DATA!$D$7)/1000000</f>
        <v>0</v>
      </c>
      <c r="J30" s="316">
        <f t="shared" ca="1" si="1"/>
        <v>0.40608537138120004</v>
      </c>
      <c r="K30" s="314"/>
      <c r="L30" s="316">
        <f>((D30*DATA!$D$23)/1000000)+((E30*DATA!$D$24)/1000000)</f>
        <v>0</v>
      </c>
      <c r="M30" s="316">
        <f t="shared" si="2"/>
        <v>0</v>
      </c>
      <c r="N30" s="316">
        <f t="shared" ca="1" si="6"/>
        <v>-0.40608537138120004</v>
      </c>
      <c r="O30" s="315">
        <f>1/(1+'[93]Asumsi I'!$C$3)^(KKF!A30)</f>
        <v>7.3787955739146982E-2</v>
      </c>
      <c r="P30" s="316">
        <f t="shared" ca="1" si="7"/>
        <v>-2.9964209409791054E-2</v>
      </c>
      <c r="Q30" s="316">
        <f t="shared" ca="1" si="9"/>
        <v>-12.889856673158349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0</v>
      </c>
      <c r="D31" s="316">
        <f t="shared" si="5"/>
        <v>0</v>
      </c>
      <c r="E31" s="316">
        <f t="shared" si="0"/>
        <v>0</v>
      </c>
      <c r="F31" s="314"/>
      <c r="G31" s="318">
        <f ca="1">DATA!$D$11/1000000</f>
        <v>0.40608537138120004</v>
      </c>
      <c r="H31" s="318">
        <f>C31*DATA!$D$5/1000000</f>
        <v>0</v>
      </c>
      <c r="I31" s="318">
        <f>(C31*DATA!$D$5*DATA!$D$7)/1000000</f>
        <v>0</v>
      </c>
      <c r="J31" s="316">
        <f t="shared" ca="1" si="1"/>
        <v>0.40608537138120004</v>
      </c>
      <c r="K31" s="314"/>
      <c r="L31" s="316">
        <f>((D31*DATA!$D$23)/1000000)+((E31*DATA!$D$24)/1000000)</f>
        <v>0</v>
      </c>
      <c r="M31" s="316">
        <f t="shared" si="2"/>
        <v>0</v>
      </c>
      <c r="N31" s="316">
        <f t="shared" ca="1" si="6"/>
        <v>-0.40608537138120004</v>
      </c>
      <c r="O31" s="315">
        <f>1/(1+'[93]Asumsi I'!$C$3)^(KKF!A31)</f>
        <v>6.5882103338524081E-2</v>
      </c>
      <c r="P31" s="316">
        <f t="shared" ca="1" si="7"/>
        <v>-2.6753758401599152E-2</v>
      </c>
      <c r="Q31" s="316">
        <f ca="1">Q30+P31</f>
        <v>-12.916610431559947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0</v>
      </c>
      <c r="D32" s="316">
        <f t="shared" si="5"/>
        <v>0</v>
      </c>
      <c r="E32" s="316">
        <f t="shared" si="0"/>
        <v>0</v>
      </c>
      <c r="F32" s="314"/>
      <c r="G32" s="318">
        <f ca="1">DATA!$D$11/1000000</f>
        <v>0.40608537138120004</v>
      </c>
      <c r="H32" s="318">
        <f>C32*DATA!$D$5/1000000</f>
        <v>0</v>
      </c>
      <c r="I32" s="318">
        <f>(C32*DATA!$D$5*DATA!$D$7)/1000000</f>
        <v>0</v>
      </c>
      <c r="J32" s="316">
        <f t="shared" ca="1" si="1"/>
        <v>0.40608537138120004</v>
      </c>
      <c r="K32" s="314"/>
      <c r="L32" s="316">
        <f>((D32*DATA!$D$23)/1000000)+((E32*DATA!$D$24)/1000000)</f>
        <v>0</v>
      </c>
      <c r="M32" s="316">
        <f t="shared" si="2"/>
        <v>0</v>
      </c>
      <c r="N32" s="316">
        <f t="shared" ca="1" si="6"/>
        <v>-0.40608537138120004</v>
      </c>
      <c r="O32" s="315">
        <f>1/(1+'[93]Asumsi I'!$C$3)^(KKF!A32)</f>
        <v>5.8823306552253637E-2</v>
      </c>
      <c r="P32" s="316">
        <f t="shared" ca="1" si="7"/>
        <v>-2.3887284287142097E-2</v>
      </c>
      <c r="Q32" s="316">
        <f ca="1">Q31+P32</f>
        <v>-12.940497715847089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7" t="s">
        <v>1374</v>
      </c>
      <c r="G33" s="607"/>
      <c r="H33" s="607"/>
      <c r="I33" s="324"/>
      <c r="J33" s="325">
        <f ca="1">SUM(J7:J32)</f>
        <v>31.837983941259917</v>
      </c>
      <c r="K33" s="607" t="s">
        <v>1375</v>
      </c>
      <c r="L33" s="607"/>
      <c r="M33" s="325">
        <f>SUM(M7:M32)</f>
        <v>11.930336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-53.402193688905456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0.37472020910655324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-11.554015817720614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Q7:Q32">
    <cfRule type="cellIs" dxfId="19" priority="3" operator="lessThan">
      <formula>0</formula>
    </cfRule>
    <cfRule type="cellIs" dxfId="18" priority="4" operator="lessThan">
      <formula>0</formula>
    </cfRule>
    <cfRule type="cellIs" dxfId="17" priority="5" operator="lessThan">
      <formula>-6395.81</formula>
    </cfRule>
    <cfRule type="cellIs" dxfId="16" priority="6" operator="lessThan">
      <formula>0</formula>
    </cfRule>
  </conditionalFormatting>
  <conditionalFormatting sqref="K7">
    <cfRule type="cellIs" dxfId="15" priority="1" stopIfTrue="1" operator="greaterThanOrEqual">
      <formula>$F$7</formula>
    </cfRule>
    <cfRule type="cellIs" dxfId="14" priority="2" stopIfTrue="1" operator="lessThan">
      <formula>$F$7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89"/>
  <sheetViews>
    <sheetView showGridLines="0" zoomScaleNormal="100" zoomScaleSheetLayoutView="70" workbookViewId="0">
      <pane ySplit="13" topLeftCell="A72" activePane="bottomLeft" state="frozen"/>
      <selection activeCell="H1093" sqref="H1093"/>
      <selection pane="bottomLeft" activeCell="M74" sqref="M74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14" customWidth="1"/>
    <col min="4" max="4" width="13.7109375" style="414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30" t="s">
        <v>1036</v>
      </c>
      <c r="P3" s="630"/>
      <c r="Q3" s="346"/>
      <c r="T3" s="344"/>
      <c r="U3" s="345" t="s">
        <v>1041</v>
      </c>
      <c r="V3" s="344"/>
    </row>
    <row r="4" spans="1:22" ht="18.75">
      <c r="B4" s="631" t="s">
        <v>1023</v>
      </c>
      <c r="C4" s="631"/>
      <c r="D4" s="631"/>
      <c r="E4" s="631"/>
      <c r="F4" s="631"/>
      <c r="G4" s="631"/>
      <c r="H4" s="631"/>
      <c r="I4" s="631"/>
      <c r="J4" s="631"/>
      <c r="K4" s="631"/>
      <c r="O4" s="630"/>
      <c r="P4" s="630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14" t="s">
        <v>1624</v>
      </c>
      <c r="H6" s="614"/>
      <c r="I6" s="614"/>
      <c r="J6" s="614"/>
      <c r="K6" s="614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1627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1551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33" t="s">
        <v>0</v>
      </c>
      <c r="C11" s="635" t="s">
        <v>1</v>
      </c>
      <c r="D11" s="624" t="s">
        <v>42</v>
      </c>
      <c r="E11" s="624" t="s">
        <v>43</v>
      </c>
      <c r="F11" s="624" t="s">
        <v>2</v>
      </c>
      <c r="G11" s="638" t="s">
        <v>41</v>
      </c>
      <c r="H11" s="624" t="s">
        <v>3</v>
      </c>
      <c r="I11" s="624"/>
      <c r="J11" s="624"/>
      <c r="K11" s="625"/>
      <c r="O11" s="351"/>
      <c r="P11" s="352"/>
      <c r="Q11" s="351"/>
      <c r="S11" s="353"/>
      <c r="T11" s="354"/>
      <c r="U11" s="354"/>
      <c r="V11" s="354"/>
    </row>
    <row r="12" spans="1:22">
      <c r="B12" s="634"/>
      <c r="C12" s="636"/>
      <c r="D12" s="628"/>
      <c r="E12" s="628"/>
      <c r="F12" s="628"/>
      <c r="G12" s="639"/>
      <c r="H12" s="626" t="s">
        <v>46</v>
      </c>
      <c r="I12" s="626" t="s">
        <v>5</v>
      </c>
      <c r="J12" s="628" t="s">
        <v>47</v>
      </c>
      <c r="K12" s="629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34"/>
      <c r="C13" s="637"/>
      <c r="D13" s="628"/>
      <c r="E13" s="628"/>
      <c r="F13" s="628"/>
      <c r="G13" s="640"/>
      <c r="H13" s="627"/>
      <c r="I13" s="627"/>
      <c r="J13" s="628"/>
      <c r="K13" s="629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1455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7" ca="1" si="4">IF(OR(D15="MDU",D15="MDU-KD"),(IF($O$3="RAB NON MDU","PLN KD",G15*F15)),0)</f>
        <v>0</v>
      </c>
      <c r="I15" s="361">
        <f t="shared" ref="I15:I17" ca="1" si="5">IF(D15="HDW",G15*F15,0)</f>
        <v>0</v>
      </c>
      <c r="J15" s="361">
        <f t="shared" ref="J15:J17" ca="1" si="6">IF(D15="JASA",G15*F15,0)</f>
        <v>0</v>
      </c>
      <c r="K15" s="362">
        <f t="shared" ref="K15:K17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56"/>
      <c r="C16" s="357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 t="e">
        <f>IF(AND(C17=0,#REF!=0,#REF!=0),"BLANKS",1)</f>
        <v>#REF!</v>
      </c>
      <c r="B17" s="371" t="s">
        <v>1456</v>
      </c>
      <c r="C17" s="372" t="s">
        <v>1621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/>
      </c>
      <c r="F17" s="368"/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ca="1" si="4"/>
        <v>0</v>
      </c>
      <c r="I17" s="361">
        <f t="shared" ca="1" si="5"/>
        <v>0</v>
      </c>
      <c r="J17" s="361">
        <f t="shared" ca="1" si="6"/>
        <v>0</v>
      </c>
      <c r="K17" s="362">
        <f t="shared" ca="1" si="7"/>
        <v>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500"/>
      <c r="C18" s="501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368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ref="H18:H38" ca="1" si="8">IF(OR(D18="MDU",D18="MDU-KD"),(IF($O$3="RAB NON MDU","PLN KD",G18*F18)),0)</f>
        <v>0</v>
      </c>
      <c r="I18" s="361">
        <f t="shared" ref="I18:I38" ca="1" si="9">IF(D18="HDW",G18*F18,0)</f>
        <v>0</v>
      </c>
      <c r="J18" s="361">
        <f t="shared" ref="J18:J38" ca="1" si="10">IF(D18="JASA",G18*F18,0)</f>
        <v>0</v>
      </c>
      <c r="K18" s="362">
        <f t="shared" ref="K18:K38" ca="1" si="11">SUM(H18:J18)</f>
        <v>0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505" t="s">
        <v>1035</v>
      </c>
      <c r="C19" s="506" t="s">
        <v>1618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>Unit</v>
      </c>
      <c r="F19" s="485">
        <v>3</v>
      </c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ca="1" si="8"/>
        <v>0</v>
      </c>
      <c r="I19" s="361">
        <f t="shared" ca="1" si="9"/>
        <v>0</v>
      </c>
      <c r="J19" s="361">
        <f t="shared" ca="1" si="10"/>
        <v>0</v>
      </c>
      <c r="K19" s="362">
        <f t="shared" ca="1" si="11"/>
        <v>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505">
        <v>1</v>
      </c>
      <c r="C20" s="506" t="s">
        <v>229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Bh</v>
      </c>
      <c r="F20" s="485">
        <f>F19*1</f>
        <v>3</v>
      </c>
      <c r="G20" s="360">
        <f ca="1">IF(ISERROR(OFFSET('HARGA SATUAN'!$I$6,MATCH(RAB!C20,'HARGA SATUAN'!$C$7:$C$1492,0),0)),0,OFFSET('HARGA SATUAN'!$I$6,MATCH(RAB!C20,'HARGA SATUAN'!$C$7:$C$1492,0),0))</f>
        <v>4212</v>
      </c>
      <c r="H20" s="361">
        <f t="shared" ca="1" si="8"/>
        <v>0</v>
      </c>
      <c r="I20" s="361">
        <f t="shared" ca="1" si="9"/>
        <v>12636</v>
      </c>
      <c r="J20" s="361">
        <f t="shared" ca="1" si="10"/>
        <v>0</v>
      </c>
      <c r="K20" s="362">
        <f t="shared" ca="1" si="11"/>
        <v>12636</v>
      </c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505">
        <v>2</v>
      </c>
      <c r="C21" s="506" t="s">
        <v>266</v>
      </c>
      <c r="D21" s="358" t="str">
        <f ca="1">IF(ISERROR(OFFSET('HARGA SATUAN'!$D$6,MATCH(RAB!C21,'HARGA SATUAN'!$C$7:$C$1492,0),0)),"",OFFSET('HARGA SATUAN'!$D$6,MATCH(RAB!C21,'HARGA SATUAN'!$C$7:$C$1492,0),0))</f>
        <v>HDW</v>
      </c>
      <c r="E21" s="359" t="str">
        <f ca="1">IF(B21="+","Unit",IF(ISERROR(OFFSET('HARGA SATUAN'!$E$6,MATCH(RAB!C21,'HARGA SATUAN'!$C$7:$C$1492,0),0)),"",OFFSET('HARGA SATUAN'!$E$6,MATCH(RAB!C21,'HARGA SATUAN'!$C$7:$C$1492,0),0)))</f>
        <v>Mtr</v>
      </c>
      <c r="F21" s="485">
        <f>F19*1</f>
        <v>3</v>
      </c>
      <c r="G21" s="360">
        <f ca="1">IF(ISERROR(OFFSET('HARGA SATUAN'!$I$6,MATCH(RAB!C21,'HARGA SATUAN'!$C$7:$C$1492,0),0)),0,OFFSET('HARGA SATUAN'!$I$6,MATCH(RAB!C21,'HARGA SATUAN'!$C$7:$C$1492,0),0))</f>
        <v>23310</v>
      </c>
      <c r="H21" s="361">
        <f t="shared" ca="1" si="8"/>
        <v>0</v>
      </c>
      <c r="I21" s="361">
        <f t="shared" ca="1" si="9"/>
        <v>69930</v>
      </c>
      <c r="J21" s="361">
        <f t="shared" ca="1" si="10"/>
        <v>0</v>
      </c>
      <c r="K21" s="362">
        <f t="shared" ca="1" si="11"/>
        <v>69930</v>
      </c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70" customFormat="1">
      <c r="A22" s="336"/>
      <c r="B22" s="505">
        <v>3</v>
      </c>
      <c r="C22" s="506" t="s">
        <v>35</v>
      </c>
      <c r="D22" s="358" t="str">
        <f ca="1">IF(ISERROR(OFFSET('HARGA SATUAN'!$D$6,MATCH(RAB!C22,'HARGA SATUAN'!$C$7:$C$1492,0),0)),"",OFFSET('HARGA SATUAN'!$D$6,MATCH(RAB!C22,'HARGA SATUAN'!$C$7:$C$1492,0),0))</f>
        <v>HDW</v>
      </c>
      <c r="E22" s="359" t="str">
        <f ca="1">IF(B22="+","Unit",IF(ISERROR(OFFSET('HARGA SATUAN'!$E$6,MATCH(RAB!C22,'HARGA SATUAN'!$C$7:$C$1492,0),0)),"",OFFSET('HARGA SATUAN'!$E$6,MATCH(RAB!C22,'HARGA SATUAN'!$C$7:$C$1492,0),0)))</f>
        <v>Bh</v>
      </c>
      <c r="F22" s="485">
        <f>F19*1</f>
        <v>3</v>
      </c>
      <c r="G22" s="360">
        <f ca="1">IF(ISERROR(OFFSET('HARGA SATUAN'!$I$6,MATCH(RAB!C22,'HARGA SATUAN'!$C$7:$C$1492,0),0)),0,OFFSET('HARGA SATUAN'!$I$6,MATCH(RAB!C22,'HARGA SATUAN'!$C$7:$C$1492,0),0))</f>
        <v>2300</v>
      </c>
      <c r="H22" s="361">
        <f t="shared" ca="1" si="8"/>
        <v>0</v>
      </c>
      <c r="I22" s="361">
        <f t="shared" ca="1" si="9"/>
        <v>6900</v>
      </c>
      <c r="J22" s="361">
        <f t="shared" ca="1" si="10"/>
        <v>0</v>
      </c>
      <c r="K22" s="362">
        <f t="shared" ca="1" si="11"/>
        <v>6900</v>
      </c>
      <c r="L22" s="369"/>
      <c r="M22" s="369"/>
      <c r="N22" s="369"/>
      <c r="O22" s="363"/>
      <c r="P22" s="363"/>
      <c r="Q22" s="344"/>
      <c r="R22" s="336"/>
      <c r="S22" s="364"/>
      <c r="T22" s="341"/>
      <c r="U22" s="341"/>
      <c r="V22" s="341"/>
    </row>
    <row r="23" spans="1:22" s="370" customFormat="1">
      <c r="A23" s="336"/>
      <c r="B23" s="505">
        <v>4</v>
      </c>
      <c r="C23" s="506" t="s">
        <v>609</v>
      </c>
      <c r="D23" s="358" t="str">
        <f ca="1">IF(ISERROR(OFFSET('HARGA SATUAN'!$D$6,MATCH(RAB!C23,'HARGA SATUAN'!$C$7:$C$1492,0),0)),"",OFFSET('HARGA SATUAN'!$D$6,MATCH(RAB!C23,'HARGA SATUAN'!$C$7:$C$1492,0),0))</f>
        <v>HDW</v>
      </c>
      <c r="E23" s="359" t="str">
        <f ca="1">IF(B23="+","Unit",IF(ISERROR(OFFSET('HARGA SATUAN'!$E$6,MATCH(RAB!C23,'HARGA SATUAN'!$C$7:$C$1492,0),0)),"",OFFSET('HARGA SATUAN'!$E$6,MATCH(RAB!C23,'HARGA SATUAN'!$C$7:$C$1492,0),0)))</f>
        <v>Bh</v>
      </c>
      <c r="F23" s="485">
        <f>F19*1</f>
        <v>3</v>
      </c>
      <c r="G23" s="360">
        <f ca="1">IF(ISERROR(OFFSET('HARGA SATUAN'!$I$6,MATCH(RAB!C23,'HARGA SATUAN'!$C$7:$C$1492,0),0)),0,OFFSET('HARGA SATUAN'!$I$6,MATCH(RAB!C23,'HARGA SATUAN'!$C$7:$C$1492,0),0))</f>
        <v>71000</v>
      </c>
      <c r="H23" s="361">
        <f t="shared" ca="1" si="8"/>
        <v>0</v>
      </c>
      <c r="I23" s="361">
        <f t="shared" ca="1" si="9"/>
        <v>213000</v>
      </c>
      <c r="J23" s="361">
        <f t="shared" ca="1" si="10"/>
        <v>0</v>
      </c>
      <c r="K23" s="362">
        <f t="shared" ca="1" si="11"/>
        <v>213000</v>
      </c>
      <c r="L23" s="369"/>
      <c r="M23" s="369"/>
      <c r="N23" s="369"/>
      <c r="O23" s="363"/>
      <c r="P23" s="363"/>
      <c r="Q23" s="344"/>
      <c r="R23" s="336"/>
      <c r="S23" s="364"/>
      <c r="T23" s="341"/>
      <c r="U23" s="341"/>
      <c r="V23" s="341"/>
    </row>
    <row r="24" spans="1:22" s="370" customFormat="1">
      <c r="A24" s="336"/>
      <c r="B24" s="505">
        <v>5</v>
      </c>
      <c r="C24" s="506" t="s">
        <v>629</v>
      </c>
      <c r="D24" s="358" t="str">
        <f ca="1">IF(ISERROR(OFFSET('HARGA SATUAN'!$D$6,MATCH(RAB!C24,'HARGA SATUAN'!$C$7:$C$1492,0),0)),"",OFFSET('HARGA SATUAN'!$D$6,MATCH(RAB!C24,'HARGA SATUAN'!$C$7:$C$1492,0),0))</f>
        <v>JASA</v>
      </c>
      <c r="E24" s="359" t="str">
        <f ca="1">IF(B24="+","Unit",IF(ISERROR(OFFSET('HARGA SATUAN'!$E$6,MATCH(RAB!C24,'HARGA SATUAN'!$C$7:$C$1492,0),0)),"",OFFSET('HARGA SATUAN'!$E$6,MATCH(RAB!C24,'HARGA SATUAN'!$C$7:$C$1492,0),0)))</f>
        <v>Unit</v>
      </c>
      <c r="F24" s="485">
        <f>F19*1</f>
        <v>3</v>
      </c>
      <c r="G24" s="360">
        <f ca="1">IF(ISERROR(OFFSET('HARGA SATUAN'!$I$6,MATCH(RAB!C24,'HARGA SATUAN'!$C$7:$C$1492,0),0)),0,OFFSET('HARGA SATUAN'!$I$6,MATCH(RAB!C24,'HARGA SATUAN'!$C$7:$C$1492,0),0))</f>
        <v>29400</v>
      </c>
      <c r="H24" s="361">
        <f t="shared" ca="1" si="8"/>
        <v>0</v>
      </c>
      <c r="I24" s="361">
        <f t="shared" ca="1" si="9"/>
        <v>0</v>
      </c>
      <c r="J24" s="361">
        <f t="shared" ca="1" si="10"/>
        <v>88200</v>
      </c>
      <c r="K24" s="362">
        <f t="shared" ca="1" si="11"/>
        <v>88200</v>
      </c>
      <c r="L24" s="369"/>
      <c r="M24" s="369"/>
      <c r="N24" s="369"/>
      <c r="O24" s="363"/>
      <c r="P24" s="363"/>
      <c r="Q24" s="344"/>
      <c r="R24" s="336"/>
      <c r="S24" s="364"/>
      <c r="T24" s="341"/>
      <c r="U24" s="341"/>
      <c r="V24" s="341"/>
    </row>
    <row r="25" spans="1:22" s="370" customFormat="1">
      <c r="A25" s="336"/>
      <c r="B25" s="505"/>
      <c r="C25" s="506"/>
      <c r="D25" s="358" t="str">
        <f ca="1">IF(ISERROR(OFFSET('HARGA SATUAN'!$D$6,MATCH(RAB!C25,'HARGA SATUAN'!$C$7:$C$1492,0),0)),"",OFFSET('HARGA SATUAN'!$D$6,MATCH(RAB!C25,'HARGA SATUAN'!$C$7:$C$1492,0),0))</f>
        <v/>
      </c>
      <c r="E25" s="359" t="str">
        <f ca="1">IF(B25="+","Unit",IF(ISERROR(OFFSET('HARGA SATUAN'!$E$6,MATCH(RAB!C25,'HARGA SATUAN'!$C$7:$C$1492,0),0)),"",OFFSET('HARGA SATUAN'!$E$6,MATCH(RAB!C25,'HARGA SATUAN'!$C$7:$C$1492,0),0)))</f>
        <v/>
      </c>
      <c r="F25" s="485"/>
      <c r="G25" s="360">
        <f ca="1">IF(ISERROR(OFFSET('HARGA SATUAN'!$I$6,MATCH(RAB!C25,'HARGA SATUAN'!$C$7:$C$1492,0),0)),0,OFFSET('HARGA SATUAN'!$I$6,MATCH(RAB!C25,'HARGA SATUAN'!$C$7:$C$1492,0),0))</f>
        <v>0</v>
      </c>
      <c r="H25" s="361">
        <f t="shared" ca="1" si="8"/>
        <v>0</v>
      </c>
      <c r="I25" s="361">
        <f t="shared" ca="1" si="9"/>
        <v>0</v>
      </c>
      <c r="J25" s="361">
        <f t="shared" ca="1" si="10"/>
        <v>0</v>
      </c>
      <c r="K25" s="362">
        <f t="shared" ca="1" si="11"/>
        <v>0</v>
      </c>
      <c r="L25" s="369"/>
      <c r="M25" s="369"/>
      <c r="N25" s="369"/>
      <c r="O25" s="363"/>
      <c r="P25" s="363"/>
      <c r="Q25" s="344"/>
      <c r="R25" s="336"/>
      <c r="S25" s="364"/>
      <c r="T25" s="341"/>
      <c r="U25" s="341"/>
      <c r="V25" s="341"/>
    </row>
    <row r="26" spans="1:22" s="370" customFormat="1">
      <c r="A26" s="336"/>
      <c r="B26" s="505" t="s">
        <v>1035</v>
      </c>
      <c r="C26" s="506" t="s">
        <v>1619</v>
      </c>
      <c r="D26" s="358" t="str">
        <f ca="1">IF(ISERROR(OFFSET('HARGA SATUAN'!$D$6,MATCH(RAB!C26,'HARGA SATUAN'!$C$7:$C$1492,0),0)),"",OFFSET('HARGA SATUAN'!$D$6,MATCH(RAB!C26,'HARGA SATUAN'!$C$7:$C$1492,0),0))</f>
        <v/>
      </c>
      <c r="E26" s="359" t="str">
        <f ca="1">IF(B26="+","Unit",IF(ISERROR(OFFSET('HARGA SATUAN'!$E$6,MATCH(RAB!C26,'HARGA SATUAN'!$C$7:$C$1492,0),0)),"",OFFSET('HARGA SATUAN'!$E$6,MATCH(RAB!C26,'HARGA SATUAN'!$C$7:$C$1492,0),0)))</f>
        <v>Unit</v>
      </c>
      <c r="F26" s="485">
        <v>4</v>
      </c>
      <c r="G26" s="360">
        <f ca="1">IF(ISERROR(OFFSET('HARGA SATUAN'!$I$6,MATCH(RAB!C26,'HARGA SATUAN'!$C$7:$C$1492,0),0)),0,OFFSET('HARGA SATUAN'!$I$6,MATCH(RAB!C26,'HARGA SATUAN'!$C$7:$C$1492,0),0))</f>
        <v>0</v>
      </c>
      <c r="H26" s="361">
        <f t="shared" ca="1" si="8"/>
        <v>0</v>
      </c>
      <c r="I26" s="361">
        <f t="shared" ca="1" si="9"/>
        <v>0</v>
      </c>
      <c r="J26" s="361">
        <f t="shared" ca="1" si="10"/>
        <v>0</v>
      </c>
      <c r="K26" s="362">
        <f t="shared" ca="1" si="11"/>
        <v>0</v>
      </c>
      <c r="L26" s="369"/>
      <c r="M26" s="369"/>
      <c r="N26" s="369"/>
      <c r="O26" s="363"/>
      <c r="P26" s="363"/>
      <c r="Q26" s="344"/>
      <c r="R26" s="336"/>
      <c r="S26" s="364"/>
      <c r="T26" s="341"/>
      <c r="U26" s="341"/>
      <c r="V26" s="341"/>
    </row>
    <row r="27" spans="1:22" s="370" customFormat="1">
      <c r="A27" s="336"/>
      <c r="B27" s="505">
        <v>1</v>
      </c>
      <c r="C27" s="506" t="s">
        <v>595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485">
        <f>F26*1</f>
        <v>4</v>
      </c>
      <c r="G27" s="360">
        <f ca="1">IF(ISERROR(OFFSET('HARGA SATUAN'!$I$6,MATCH(RAB!C27,'HARGA SATUAN'!$C$7:$C$1492,0),0)),0,OFFSET('HARGA SATUAN'!$I$6,MATCH(RAB!C27,'HARGA SATUAN'!$C$7:$C$1492,0),0))</f>
        <v>78500</v>
      </c>
      <c r="H27" s="361">
        <f t="shared" ca="1" si="8"/>
        <v>0</v>
      </c>
      <c r="I27" s="361">
        <f t="shared" ca="1" si="9"/>
        <v>314000</v>
      </c>
      <c r="J27" s="361">
        <f t="shared" ca="1" si="10"/>
        <v>0</v>
      </c>
      <c r="K27" s="362">
        <f t="shared" ca="1" si="11"/>
        <v>314000</v>
      </c>
      <c r="L27" s="369"/>
      <c r="M27" s="369"/>
      <c r="N27" s="369"/>
      <c r="O27" s="363"/>
      <c r="P27" s="363"/>
      <c r="Q27" s="344"/>
      <c r="R27" s="336"/>
      <c r="S27" s="364"/>
      <c r="T27" s="341"/>
      <c r="U27" s="341"/>
      <c r="V27" s="341"/>
    </row>
    <row r="28" spans="1:22" s="370" customFormat="1">
      <c r="A28" s="336"/>
      <c r="B28" s="505">
        <v>2</v>
      </c>
      <c r="C28" s="506" t="s">
        <v>229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485">
        <f>F26*1</f>
        <v>4</v>
      </c>
      <c r="G28" s="360">
        <f ca="1">IF(ISERROR(OFFSET('HARGA SATUAN'!$I$6,MATCH(RAB!C28,'HARGA SATUAN'!$C$7:$C$1492,0),0)),0,OFFSET('HARGA SATUAN'!$I$6,MATCH(RAB!C28,'HARGA SATUAN'!$C$7:$C$1492,0),0))</f>
        <v>4212</v>
      </c>
      <c r="H28" s="361">
        <f t="shared" ca="1" si="8"/>
        <v>0</v>
      </c>
      <c r="I28" s="361">
        <f t="shared" ca="1" si="9"/>
        <v>16848</v>
      </c>
      <c r="J28" s="361">
        <f t="shared" ca="1" si="10"/>
        <v>0</v>
      </c>
      <c r="K28" s="362">
        <f t="shared" ca="1" si="11"/>
        <v>16848</v>
      </c>
      <c r="L28" s="369"/>
      <c r="M28" s="369"/>
      <c r="N28" s="369"/>
      <c r="O28" s="363"/>
      <c r="P28" s="363"/>
      <c r="Q28" s="344"/>
      <c r="R28" s="336"/>
      <c r="S28" s="364"/>
      <c r="T28" s="341"/>
      <c r="U28" s="341"/>
      <c r="V28" s="341"/>
    </row>
    <row r="29" spans="1:22" s="370" customFormat="1">
      <c r="A29" s="336"/>
      <c r="B29" s="505">
        <v>3</v>
      </c>
      <c r="C29" s="506" t="s">
        <v>266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Mtr</v>
      </c>
      <c r="F29" s="485">
        <f>F26*1</f>
        <v>4</v>
      </c>
      <c r="G29" s="360">
        <f ca="1">IF(ISERROR(OFFSET('HARGA SATUAN'!$I$6,MATCH(RAB!C29,'HARGA SATUAN'!$C$7:$C$1492,0),0)),0,OFFSET('HARGA SATUAN'!$I$6,MATCH(RAB!C29,'HARGA SATUAN'!$C$7:$C$1492,0),0))</f>
        <v>23310</v>
      </c>
      <c r="H29" s="361">
        <f t="shared" ca="1" si="8"/>
        <v>0</v>
      </c>
      <c r="I29" s="361">
        <f t="shared" ca="1" si="9"/>
        <v>93240</v>
      </c>
      <c r="J29" s="361">
        <f t="shared" ca="1" si="10"/>
        <v>0</v>
      </c>
      <c r="K29" s="362">
        <f t="shared" ca="1" si="11"/>
        <v>93240</v>
      </c>
      <c r="L29" s="369"/>
      <c r="M29" s="369"/>
      <c r="N29" s="369"/>
      <c r="O29" s="363"/>
      <c r="P29" s="363"/>
      <c r="Q29" s="344"/>
      <c r="R29" s="336"/>
      <c r="S29" s="364"/>
      <c r="T29" s="341"/>
      <c r="U29" s="341"/>
      <c r="V29" s="341"/>
    </row>
    <row r="30" spans="1:22" s="370" customFormat="1">
      <c r="A30" s="336"/>
      <c r="B30" s="505">
        <v>4</v>
      </c>
      <c r="C30" s="506" t="s">
        <v>35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85">
        <f>F26*1</f>
        <v>4</v>
      </c>
      <c r="G30" s="360">
        <f ca="1">IF(ISERROR(OFFSET('HARGA SATUAN'!$I$6,MATCH(RAB!C30,'HARGA SATUAN'!$C$7:$C$1492,0),0)),0,OFFSET('HARGA SATUAN'!$I$6,MATCH(RAB!C30,'HARGA SATUAN'!$C$7:$C$1492,0),0))</f>
        <v>2300</v>
      </c>
      <c r="H30" s="361">
        <f t="shared" ca="1" si="8"/>
        <v>0</v>
      </c>
      <c r="I30" s="361">
        <f t="shared" ca="1" si="9"/>
        <v>9200</v>
      </c>
      <c r="J30" s="361">
        <f t="shared" ca="1" si="10"/>
        <v>0</v>
      </c>
      <c r="K30" s="362">
        <f t="shared" ca="1" si="11"/>
        <v>9200</v>
      </c>
      <c r="L30" s="369"/>
      <c r="M30" s="369"/>
      <c r="N30" s="369"/>
      <c r="O30" s="363"/>
      <c r="P30" s="363"/>
      <c r="Q30" s="344"/>
      <c r="R30" s="336"/>
      <c r="S30" s="364"/>
      <c r="T30" s="341"/>
      <c r="U30" s="341"/>
      <c r="V30" s="341"/>
    </row>
    <row r="31" spans="1:22" s="370" customFormat="1">
      <c r="A31" s="336"/>
      <c r="B31" s="505">
        <v>5</v>
      </c>
      <c r="C31" s="506" t="s">
        <v>630</v>
      </c>
      <c r="D31" s="358" t="str">
        <f ca="1">IF(ISERROR(OFFSET('HARGA SATUAN'!$D$6,MATCH(RAB!C31,'HARGA SATUAN'!$C$7:$C$1492,0),0)),"",OFFSET('HARGA SATUAN'!$D$6,MATCH(RAB!C31,'HARGA SATUAN'!$C$7:$C$1492,0),0))</f>
        <v>JASA</v>
      </c>
      <c r="E31" s="359" t="str">
        <f ca="1">IF(B31="+","Unit",IF(ISERROR(OFFSET('HARGA SATUAN'!$E$6,MATCH(RAB!C31,'HARGA SATUAN'!$C$7:$C$1492,0),0)),"",OFFSET('HARGA SATUAN'!$E$6,MATCH(RAB!C31,'HARGA SATUAN'!$C$7:$C$1492,0),0)))</f>
        <v>Unit</v>
      </c>
      <c r="F31" s="485">
        <f>F26*1</f>
        <v>4</v>
      </c>
      <c r="G31" s="360">
        <f ca="1">IF(ISERROR(OFFSET('HARGA SATUAN'!$I$6,MATCH(RAB!C31,'HARGA SATUAN'!$C$7:$C$1492,0),0)),0,OFFSET('HARGA SATUAN'!$I$6,MATCH(RAB!C31,'HARGA SATUAN'!$C$7:$C$1492,0),0))</f>
        <v>35700</v>
      </c>
      <c r="H31" s="361">
        <f t="shared" ca="1" si="8"/>
        <v>0</v>
      </c>
      <c r="I31" s="361">
        <f t="shared" ca="1" si="9"/>
        <v>0</v>
      </c>
      <c r="J31" s="361">
        <f t="shared" ca="1" si="10"/>
        <v>142800</v>
      </c>
      <c r="K31" s="362">
        <f t="shared" ca="1" si="11"/>
        <v>142800</v>
      </c>
      <c r="L31" s="369"/>
      <c r="M31" s="369"/>
      <c r="N31" s="369"/>
      <c r="O31" s="363"/>
      <c r="P31" s="363"/>
      <c r="Q31" s="344"/>
      <c r="R31" s="336"/>
      <c r="S31" s="364"/>
      <c r="T31" s="341"/>
      <c r="U31" s="341"/>
      <c r="V31" s="341"/>
    </row>
    <row r="32" spans="1:22" s="370" customFormat="1">
      <c r="A32" s="336"/>
      <c r="B32" s="500"/>
      <c r="C32" s="501"/>
      <c r="D32" s="358" t="str">
        <f ca="1">IF(ISERROR(OFFSET('HARGA SATUAN'!$D$6,MATCH(RAB!C32,'HARGA SATUAN'!$C$7:$C$1492,0),0)),"",OFFSET('HARGA SATUAN'!$D$6,MATCH(RAB!C32,'HARGA SATUAN'!$C$7:$C$1492,0),0))</f>
        <v/>
      </c>
      <c r="E32" s="359" t="str">
        <f ca="1">IF(B32="+","Unit",IF(ISERROR(OFFSET('HARGA SATUAN'!$E$6,MATCH(RAB!C32,'HARGA SATUAN'!$C$7:$C$1492,0),0)),"",OFFSET('HARGA SATUAN'!$E$6,MATCH(RAB!C32,'HARGA SATUAN'!$C$7:$C$1492,0),0)))</f>
        <v/>
      </c>
      <c r="F32" s="368"/>
      <c r="G32" s="360">
        <f ca="1">IF(ISERROR(OFFSET('HARGA SATUAN'!$I$6,MATCH(RAB!C32,'HARGA SATUAN'!$C$7:$C$1492,0),0)),0,OFFSET('HARGA SATUAN'!$I$6,MATCH(RAB!C32,'HARGA SATUAN'!$C$7:$C$1492,0),0))</f>
        <v>0</v>
      </c>
      <c r="H32" s="361">
        <f t="shared" ca="1" si="8"/>
        <v>0</v>
      </c>
      <c r="I32" s="361">
        <f t="shared" ca="1" si="9"/>
        <v>0</v>
      </c>
      <c r="J32" s="361">
        <f t="shared" ca="1" si="10"/>
        <v>0</v>
      </c>
      <c r="K32" s="362">
        <f t="shared" ca="1" si="11"/>
        <v>0</v>
      </c>
      <c r="L32" s="369"/>
      <c r="M32" s="369"/>
      <c r="N32" s="369"/>
      <c r="O32" s="363"/>
      <c r="P32" s="363"/>
      <c r="Q32" s="344"/>
      <c r="R32" s="336"/>
      <c r="S32" s="364"/>
      <c r="T32" s="341"/>
      <c r="U32" s="341"/>
      <c r="V32" s="341"/>
    </row>
    <row r="33" spans="1:22" s="370" customFormat="1">
      <c r="A33" s="336"/>
      <c r="B33" s="505" t="s">
        <v>1035</v>
      </c>
      <c r="C33" s="506" t="s">
        <v>1620</v>
      </c>
      <c r="D33" s="358" t="str">
        <f ca="1">IF(ISERROR(OFFSET('HARGA SATUAN'!$D$6,MATCH(RAB!C33,'HARGA SATUAN'!$C$7:$C$1492,0),0)),"",OFFSET('HARGA SATUAN'!$D$6,MATCH(RAB!C33,'HARGA SATUAN'!$C$7:$C$1492,0),0))</f>
        <v/>
      </c>
      <c r="E33" s="359" t="str">
        <f ca="1">IF(B33="+","Unit",IF(ISERROR(OFFSET('HARGA SATUAN'!$E$6,MATCH(RAB!C33,'HARGA SATUAN'!$C$7:$C$1492,0),0)),"",OFFSET('HARGA SATUAN'!$E$6,MATCH(RAB!C33,'HARGA SATUAN'!$C$7:$C$1492,0),0)))</f>
        <v>Unit</v>
      </c>
      <c r="F33" s="485">
        <v>1</v>
      </c>
      <c r="G33" s="360">
        <f ca="1">IF(ISERROR(OFFSET('HARGA SATUAN'!$I$6,MATCH(RAB!C33,'HARGA SATUAN'!$C$7:$C$1492,0),0)),0,OFFSET('HARGA SATUAN'!$I$6,MATCH(RAB!C33,'HARGA SATUAN'!$C$7:$C$1492,0),0))</f>
        <v>0</v>
      </c>
      <c r="H33" s="361">
        <f t="shared" ca="1" si="8"/>
        <v>0</v>
      </c>
      <c r="I33" s="361">
        <f t="shared" ca="1" si="9"/>
        <v>0</v>
      </c>
      <c r="J33" s="361">
        <f t="shared" ca="1" si="10"/>
        <v>0</v>
      </c>
      <c r="K33" s="362">
        <f t="shared" ca="1" si="11"/>
        <v>0</v>
      </c>
      <c r="L33" s="369"/>
      <c r="M33" s="369"/>
      <c r="N33" s="369"/>
      <c r="O33" s="363"/>
      <c r="P33" s="363"/>
      <c r="Q33" s="344"/>
      <c r="R33" s="336"/>
      <c r="S33" s="364"/>
      <c r="T33" s="341"/>
      <c r="U33" s="341"/>
      <c r="V33" s="341"/>
    </row>
    <row r="34" spans="1:22" s="370" customFormat="1">
      <c r="A34" s="336"/>
      <c r="B34" s="505">
        <v>1</v>
      </c>
      <c r="C34" s="506" t="s">
        <v>598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485">
        <f>F33*1</f>
        <v>1</v>
      </c>
      <c r="G34" s="360">
        <f ca="1">IF(ISERROR(OFFSET('HARGA SATUAN'!$I$6,MATCH(RAB!C34,'HARGA SATUAN'!$C$7:$C$1492,0),0)),0,OFFSET('HARGA SATUAN'!$I$6,MATCH(RAB!C34,'HARGA SATUAN'!$C$7:$C$1492,0),0))</f>
        <v>3965</v>
      </c>
      <c r="H34" s="361">
        <f t="shared" ca="1" si="8"/>
        <v>0</v>
      </c>
      <c r="I34" s="361">
        <f t="shared" ca="1" si="9"/>
        <v>3965</v>
      </c>
      <c r="J34" s="361">
        <f t="shared" ca="1" si="10"/>
        <v>0</v>
      </c>
      <c r="K34" s="362">
        <f t="shared" ca="1" si="11"/>
        <v>3965</v>
      </c>
      <c r="L34" s="369"/>
      <c r="M34" s="369"/>
      <c r="N34" s="369"/>
      <c r="O34" s="363"/>
      <c r="P34" s="363"/>
      <c r="Q34" s="344"/>
      <c r="R34" s="336"/>
      <c r="S34" s="364"/>
      <c r="T34" s="341"/>
      <c r="U34" s="341"/>
      <c r="V34" s="341"/>
    </row>
    <row r="35" spans="1:22" s="370" customFormat="1">
      <c r="A35" s="336"/>
      <c r="B35" s="505">
        <v>2</v>
      </c>
      <c r="C35" s="506" t="s">
        <v>474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485">
        <f>F33*1</f>
        <v>1</v>
      </c>
      <c r="G35" s="360">
        <f ca="1">IF(ISERROR(OFFSET('HARGA SATUAN'!$I$6,MATCH(RAB!C35,'HARGA SATUAN'!$C$7:$C$1492,0),0)),0,OFFSET('HARGA SATUAN'!$I$6,MATCH(RAB!C35,'HARGA SATUAN'!$C$7:$C$1492,0),0))</f>
        <v>3711.24</v>
      </c>
      <c r="H35" s="361">
        <f t="shared" ca="1" si="8"/>
        <v>0</v>
      </c>
      <c r="I35" s="361">
        <f t="shared" ca="1" si="9"/>
        <v>3711.24</v>
      </c>
      <c r="J35" s="361">
        <f t="shared" ca="1" si="10"/>
        <v>0</v>
      </c>
      <c r="K35" s="362">
        <f t="shared" ca="1" si="11"/>
        <v>3711.24</v>
      </c>
      <c r="L35" s="369"/>
      <c r="M35" s="369"/>
      <c r="N35" s="369"/>
      <c r="O35" s="363"/>
      <c r="P35" s="363"/>
      <c r="Q35" s="344"/>
      <c r="R35" s="336"/>
      <c r="S35" s="364"/>
      <c r="T35" s="341"/>
      <c r="U35" s="341"/>
      <c r="V35" s="341"/>
    </row>
    <row r="36" spans="1:22" s="370" customFormat="1">
      <c r="A36" s="336"/>
      <c r="B36" s="505">
        <v>3</v>
      </c>
      <c r="C36" s="506" t="s">
        <v>266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Mtr</v>
      </c>
      <c r="F36" s="485">
        <f>F33*1</f>
        <v>1</v>
      </c>
      <c r="G36" s="360">
        <f ca="1">IF(ISERROR(OFFSET('HARGA SATUAN'!$I$6,MATCH(RAB!C36,'HARGA SATUAN'!$C$7:$C$1492,0),0)),0,OFFSET('HARGA SATUAN'!$I$6,MATCH(RAB!C36,'HARGA SATUAN'!$C$7:$C$1492,0),0))</f>
        <v>23310</v>
      </c>
      <c r="H36" s="361">
        <f t="shared" ca="1" si="8"/>
        <v>0</v>
      </c>
      <c r="I36" s="361">
        <f t="shared" ca="1" si="9"/>
        <v>23310</v>
      </c>
      <c r="J36" s="361">
        <f t="shared" ca="1" si="10"/>
        <v>0</v>
      </c>
      <c r="K36" s="362">
        <f t="shared" ca="1" si="11"/>
        <v>23310</v>
      </c>
      <c r="L36" s="369"/>
      <c r="M36" s="369"/>
      <c r="N36" s="369"/>
      <c r="O36" s="363"/>
      <c r="P36" s="363"/>
      <c r="Q36" s="344"/>
      <c r="R36" s="336"/>
      <c r="S36" s="364"/>
      <c r="T36" s="341"/>
      <c r="U36" s="341"/>
      <c r="V36" s="341"/>
    </row>
    <row r="37" spans="1:22" s="370" customFormat="1">
      <c r="A37" s="336"/>
      <c r="B37" s="505">
        <v>4</v>
      </c>
      <c r="C37" s="506" t="s">
        <v>35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485">
        <f>F33*1</f>
        <v>1</v>
      </c>
      <c r="G37" s="360">
        <f ca="1">IF(ISERROR(OFFSET('HARGA SATUAN'!$I$6,MATCH(RAB!C37,'HARGA SATUAN'!$C$7:$C$1492,0),0)),0,OFFSET('HARGA SATUAN'!$I$6,MATCH(RAB!C37,'HARGA SATUAN'!$C$7:$C$1492,0),0))</f>
        <v>2300</v>
      </c>
      <c r="H37" s="361">
        <f t="shared" ca="1" si="8"/>
        <v>0</v>
      </c>
      <c r="I37" s="361">
        <f t="shared" ca="1" si="9"/>
        <v>2300</v>
      </c>
      <c r="J37" s="361">
        <f t="shared" ca="1" si="10"/>
        <v>0</v>
      </c>
      <c r="K37" s="362">
        <f t="shared" ca="1" si="11"/>
        <v>2300</v>
      </c>
      <c r="L37" s="369"/>
      <c r="M37" s="369"/>
      <c r="N37" s="369"/>
      <c r="O37" s="363"/>
      <c r="P37" s="363"/>
      <c r="Q37" s="344"/>
      <c r="R37" s="336"/>
      <c r="S37" s="364"/>
      <c r="T37" s="341"/>
      <c r="U37" s="341"/>
      <c r="V37" s="341"/>
    </row>
    <row r="38" spans="1:22" s="370" customFormat="1">
      <c r="A38" s="336"/>
      <c r="B38" s="505">
        <v>5</v>
      </c>
      <c r="C38" s="506" t="s">
        <v>632</v>
      </c>
      <c r="D38" s="358" t="str">
        <f ca="1">IF(ISERROR(OFFSET('HARGA SATUAN'!$D$6,MATCH(RAB!C38,'HARGA SATUAN'!$C$7:$C$1492,0),0)),"",OFFSET('HARGA SATUAN'!$D$6,MATCH(RAB!C38,'HARGA SATUAN'!$C$7:$C$1492,0),0))</f>
        <v>JASA</v>
      </c>
      <c r="E38" s="359" t="str">
        <f ca="1">IF(B38="+","Unit",IF(ISERROR(OFFSET('HARGA SATUAN'!$E$6,MATCH(RAB!C38,'HARGA SATUAN'!$C$7:$C$1492,0),0)),"",OFFSET('HARGA SATUAN'!$E$6,MATCH(RAB!C38,'HARGA SATUAN'!$C$7:$C$1492,0),0)))</f>
        <v>Unit</v>
      </c>
      <c r="F38" s="485">
        <f>F33*1</f>
        <v>1</v>
      </c>
      <c r="G38" s="360">
        <f ca="1">IF(ISERROR(OFFSET('HARGA SATUAN'!$I$6,MATCH(RAB!C38,'HARGA SATUAN'!$C$7:$C$1492,0),0)),0,OFFSET('HARGA SATUAN'!$I$6,MATCH(RAB!C38,'HARGA SATUAN'!$C$7:$C$1492,0),0))</f>
        <v>22700</v>
      </c>
      <c r="H38" s="361">
        <f t="shared" ca="1" si="8"/>
        <v>0</v>
      </c>
      <c r="I38" s="361">
        <f t="shared" ca="1" si="9"/>
        <v>0</v>
      </c>
      <c r="J38" s="361">
        <f t="shared" ca="1" si="10"/>
        <v>22700</v>
      </c>
      <c r="K38" s="362">
        <f t="shared" ca="1" si="11"/>
        <v>22700</v>
      </c>
      <c r="L38" s="369"/>
      <c r="M38" s="369"/>
      <c r="N38" s="369"/>
      <c r="O38" s="363"/>
      <c r="P38" s="363"/>
      <c r="Q38" s="344"/>
      <c r="R38" s="336"/>
      <c r="S38" s="364"/>
      <c r="T38" s="341"/>
      <c r="U38" s="341"/>
      <c r="V38" s="341"/>
    </row>
    <row r="39" spans="1:22" s="370" customFormat="1">
      <c r="A39" s="336"/>
      <c r="B39" s="505"/>
      <c r="C39" s="506"/>
      <c r="D39" s="358" t="str">
        <f ca="1">IF(ISERROR(OFFSET('HARGA SATUAN'!$D$6,MATCH(RAB!C39,'HARGA SATUAN'!$C$7:$C$1492,0),0)),"",OFFSET('HARGA SATUAN'!$D$6,MATCH(RAB!C39,'HARGA SATUAN'!$C$7:$C$1492,0),0))</f>
        <v/>
      </c>
      <c r="E39" s="359" t="str">
        <f ca="1">IF(B39="+","Unit",IF(ISERROR(OFFSET('HARGA SATUAN'!$E$6,MATCH(RAB!C39,'HARGA SATUAN'!$C$7:$C$1492,0),0)),"",OFFSET('HARGA SATUAN'!$E$6,MATCH(RAB!C39,'HARGA SATUAN'!$C$7:$C$1492,0),0)))</f>
        <v/>
      </c>
      <c r="F39" s="485"/>
      <c r="G39" s="360">
        <f ca="1">IF(ISERROR(OFFSET('HARGA SATUAN'!$I$6,MATCH(RAB!C39,'HARGA SATUAN'!$C$7:$C$1492,0),0)),0,OFFSET('HARGA SATUAN'!$I$6,MATCH(RAB!C39,'HARGA SATUAN'!$C$7:$C$1492,0),0))</f>
        <v>0</v>
      </c>
      <c r="H39" s="361">
        <f t="shared" ref="H39:H44" ca="1" si="12">IF(OR(D39="MDU",D39="MDU-KD"),(IF($O$3="RAB NON MDU","PLN KD",G39*F39)),0)</f>
        <v>0</v>
      </c>
      <c r="I39" s="361">
        <f t="shared" ref="I39:I44" ca="1" si="13">IF(D39="HDW",G39*F39,0)</f>
        <v>0</v>
      </c>
      <c r="J39" s="361">
        <f t="shared" ref="J39:J44" ca="1" si="14">IF(D39="JASA",G39*F39,0)</f>
        <v>0</v>
      </c>
      <c r="K39" s="362">
        <f t="shared" ref="K39:K44" ca="1" si="15">SUM(H39:J39)</f>
        <v>0</v>
      </c>
      <c r="L39" s="369"/>
      <c r="M39" s="369"/>
      <c r="N39" s="369"/>
      <c r="O39" s="363"/>
      <c r="P39" s="363"/>
      <c r="Q39" s="344"/>
      <c r="R39" s="336"/>
      <c r="S39" s="364"/>
      <c r="T39" s="341"/>
      <c r="U39" s="341"/>
      <c r="V39" s="341"/>
    </row>
    <row r="40" spans="1:22" s="370" customFormat="1">
      <c r="A40" s="336"/>
      <c r="B40" s="500"/>
      <c r="C40" s="502" t="s">
        <v>1617</v>
      </c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/>
      </c>
      <c r="F40" s="368"/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ca="1" si="12"/>
        <v>0</v>
      </c>
      <c r="I40" s="361">
        <f t="shared" ca="1" si="13"/>
        <v>0</v>
      </c>
      <c r="J40" s="361">
        <f t="shared" ca="1" si="14"/>
        <v>0</v>
      </c>
      <c r="K40" s="362">
        <f t="shared" ca="1" si="15"/>
        <v>0</v>
      </c>
      <c r="L40" s="369"/>
      <c r="M40" s="369"/>
      <c r="N40" s="369"/>
      <c r="O40" s="363"/>
      <c r="P40" s="363"/>
      <c r="Q40" s="344"/>
      <c r="R40" s="336"/>
      <c r="S40" s="364"/>
      <c r="T40" s="341"/>
      <c r="U40" s="341"/>
      <c r="V40" s="341"/>
    </row>
    <row r="41" spans="1:22" s="370" customFormat="1">
      <c r="A41" s="336"/>
      <c r="B41" s="500"/>
      <c r="C41" s="501"/>
      <c r="D41" s="358" t="str">
        <f ca="1">IF(ISERROR(OFFSET('HARGA SATUAN'!$D$6,MATCH(RAB!C41,'HARGA SATUAN'!$C$7:$C$1492,0),0)),"",OFFSET('HARGA SATUAN'!$D$6,MATCH(RAB!C41,'HARGA SATUAN'!$C$7:$C$1492,0),0))</f>
        <v/>
      </c>
      <c r="E41" s="359" t="str">
        <f ca="1">IF(B41="+","Unit",IF(ISERROR(OFFSET('HARGA SATUAN'!$E$6,MATCH(RAB!C41,'HARGA SATUAN'!$C$7:$C$1492,0),0)),"",OFFSET('HARGA SATUAN'!$E$6,MATCH(RAB!C41,'HARGA SATUAN'!$C$7:$C$1492,0),0)))</f>
        <v/>
      </c>
      <c r="F41" s="368"/>
      <c r="G41" s="360">
        <f ca="1">IF(ISERROR(OFFSET('HARGA SATUAN'!$I$6,MATCH(RAB!C41,'HARGA SATUAN'!$C$7:$C$1492,0),0)),0,OFFSET('HARGA SATUAN'!$I$6,MATCH(RAB!C41,'HARGA SATUAN'!$C$7:$C$1492,0),0))</f>
        <v>0</v>
      </c>
      <c r="H41" s="361">
        <f t="shared" ca="1" si="12"/>
        <v>0</v>
      </c>
      <c r="I41" s="361">
        <f t="shared" ca="1" si="13"/>
        <v>0</v>
      </c>
      <c r="J41" s="361">
        <f t="shared" ca="1" si="14"/>
        <v>0</v>
      </c>
      <c r="K41" s="362">
        <f t="shared" ca="1" si="15"/>
        <v>0</v>
      </c>
      <c r="L41" s="369"/>
      <c r="M41" s="369"/>
      <c r="N41" s="369"/>
      <c r="O41" s="363"/>
      <c r="P41" s="363"/>
      <c r="Q41" s="344"/>
      <c r="R41" s="336"/>
      <c r="S41" s="364"/>
      <c r="T41" s="341"/>
      <c r="U41" s="341"/>
      <c r="V41" s="341"/>
    </row>
    <row r="42" spans="1:22" s="370" customFormat="1">
      <c r="A42" s="336"/>
      <c r="B42" s="500">
        <v>1</v>
      </c>
      <c r="C42" s="109" t="s">
        <v>1462</v>
      </c>
      <c r="D42" s="358" t="str">
        <f ca="1">IF(ISERROR(OFFSET('HARGA SATUAN'!$D$6,MATCH(RAB!C42,'HARGA SATUAN'!$C$7:$C$1492,0),0)),"",OFFSET('HARGA SATUAN'!$D$6,MATCH(RAB!C42,'HARGA SATUAN'!$C$7:$C$1492,0),0))</f>
        <v>MDU-KD</v>
      </c>
      <c r="E42" s="359" t="str">
        <f ca="1">IF(B42="+","Unit",IF(ISERROR(OFFSET('HARGA SATUAN'!$E$6,MATCH(RAB!C42,'HARGA SATUAN'!$C$7:$C$1492,0),0)),"",OFFSET('HARGA SATUAN'!$E$6,MATCH(RAB!C42,'HARGA SATUAN'!$C$7:$C$1492,0),0)))</f>
        <v>Mtr</v>
      </c>
      <c r="F42" s="368">
        <v>250</v>
      </c>
      <c r="G42" s="360">
        <f ca="1">IF(ISERROR(OFFSET('HARGA SATUAN'!$I$6,MATCH(RAB!C42,'HARGA SATUAN'!$C$7:$C$1492,0),0)),0,OFFSET('HARGA SATUAN'!$I$6,MATCH(RAB!C42,'HARGA SATUAN'!$C$7:$C$1492,0),0))</f>
        <v>54500</v>
      </c>
      <c r="H42" s="361">
        <f t="shared" ca="1" si="12"/>
        <v>13625000</v>
      </c>
      <c r="I42" s="361">
        <f t="shared" ca="1" si="13"/>
        <v>0</v>
      </c>
      <c r="J42" s="361">
        <f t="shared" ca="1" si="14"/>
        <v>0</v>
      </c>
      <c r="K42" s="362">
        <f t="shared" ca="1" si="15"/>
        <v>13625000</v>
      </c>
      <c r="L42" s="369"/>
      <c r="M42" s="369"/>
      <c r="N42" s="369"/>
      <c r="O42" s="363"/>
      <c r="P42" s="363"/>
      <c r="Q42" s="344"/>
      <c r="R42" s="336"/>
      <c r="S42" s="364"/>
      <c r="T42" s="341"/>
      <c r="U42" s="341"/>
      <c r="V42" s="341"/>
    </row>
    <row r="43" spans="1:22" s="370" customFormat="1" ht="18" customHeight="1">
      <c r="A43" s="336"/>
      <c r="B43" s="500">
        <v>2</v>
      </c>
      <c r="C43" s="109" t="s">
        <v>347</v>
      </c>
      <c r="D43" s="358" t="str">
        <f ca="1">IF(ISERROR(OFFSET('HARGA SATUAN'!$D$6,MATCH(RAB!C43,'HARGA SATUAN'!$C$7:$C$1492,0),0)),"",OFFSET('HARGA SATUAN'!$D$6,MATCH(RAB!C43,'HARGA SATUAN'!$C$7:$C$1492,0),0))</f>
        <v>JASA</v>
      </c>
      <c r="E43" s="359" t="str">
        <f ca="1">IF(B43="+","Unit",IF(ISERROR(OFFSET('HARGA SATUAN'!$E$6,MATCH(RAB!C43,'HARGA SATUAN'!$C$7:$C$1492,0),0)),"",OFFSET('HARGA SATUAN'!$E$6,MATCH(RAB!C43,'HARGA SATUAN'!$C$7:$C$1492,0),0)))</f>
        <v>Per 50 m</v>
      </c>
      <c r="F43" s="368">
        <f>F42/50</f>
        <v>5</v>
      </c>
      <c r="G43" s="360">
        <f ca="1">IF(ISERROR(OFFSET('HARGA SATUAN'!$I$6,MATCH(RAB!C43,'HARGA SATUAN'!$C$7:$C$1492,0),0)),0,OFFSET('HARGA SATUAN'!$I$6,MATCH(RAB!C43,'HARGA SATUAN'!$C$7:$C$1492,0),0))</f>
        <v>179000</v>
      </c>
      <c r="H43" s="361">
        <f t="shared" ca="1" si="12"/>
        <v>0</v>
      </c>
      <c r="I43" s="361">
        <f t="shared" ca="1" si="13"/>
        <v>0</v>
      </c>
      <c r="J43" s="361">
        <f t="shared" ca="1" si="14"/>
        <v>895000</v>
      </c>
      <c r="K43" s="362">
        <f t="shared" ca="1" si="15"/>
        <v>895000</v>
      </c>
      <c r="L43" s="369"/>
      <c r="M43" s="369"/>
      <c r="N43" s="369"/>
      <c r="O43" s="363"/>
      <c r="P43" s="363"/>
      <c r="Q43" s="344"/>
      <c r="R43" s="336"/>
      <c r="S43" s="364"/>
      <c r="T43" s="341"/>
      <c r="U43" s="341"/>
      <c r="V43" s="341"/>
    </row>
    <row r="44" spans="1:22" s="370" customFormat="1">
      <c r="A44" s="336"/>
      <c r="B44" s="500">
        <v>3</v>
      </c>
      <c r="C44" s="512" t="s">
        <v>1099</v>
      </c>
      <c r="D44" s="358" t="str">
        <f ca="1">IF(ISERROR(OFFSET('HARGA SATUAN'!$D$6,MATCH(RAB!C44,'HARGA SATUAN'!$C$7:$C$1492,0),0)),"",OFFSET('HARGA SATUAN'!$D$6,MATCH(RAB!C44,'HARGA SATUAN'!$C$7:$C$1492,0),0))</f>
        <v>JASA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368">
        <v>3</v>
      </c>
      <c r="G44" s="360">
        <f ca="1">IF(ISERROR(OFFSET('HARGA SATUAN'!$I$6,MATCH(RAB!C44,'HARGA SATUAN'!$C$7:$C$1492,0),0)),0,OFFSET('HARGA SATUAN'!$I$6,MATCH(RAB!C44,'HARGA SATUAN'!$C$7:$C$1492,0),0))</f>
        <v>13770</v>
      </c>
      <c r="H44" s="361">
        <f t="shared" ca="1" si="12"/>
        <v>0</v>
      </c>
      <c r="I44" s="361">
        <f t="shared" ca="1" si="13"/>
        <v>0</v>
      </c>
      <c r="J44" s="361">
        <f t="shared" ca="1" si="14"/>
        <v>41310</v>
      </c>
      <c r="K44" s="362">
        <f t="shared" ca="1" si="15"/>
        <v>41310</v>
      </c>
      <c r="L44" s="369"/>
      <c r="M44" s="369"/>
      <c r="N44" s="369"/>
      <c r="O44" s="363"/>
      <c r="P44" s="363"/>
      <c r="Q44" s="344"/>
      <c r="R44" s="336"/>
      <c r="S44" s="364"/>
      <c r="T44" s="341"/>
      <c r="U44" s="341"/>
      <c r="V44" s="341"/>
    </row>
    <row r="45" spans="1:22" s="370" customFormat="1">
      <c r="A45" s="336"/>
      <c r="B45" s="500">
        <v>4</v>
      </c>
      <c r="C45" s="109" t="s">
        <v>184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368">
        <v>3</v>
      </c>
      <c r="G45" s="360">
        <f ca="1">IF(ISERROR(OFFSET('HARGA SATUAN'!$I$6,MATCH(RAB!C45,'HARGA SATUAN'!$C$7:$C$1492,0),0)),0,OFFSET('HARGA SATUAN'!$I$6,MATCH(RAB!C45,'HARGA SATUAN'!$C$7:$C$1492,0),0))</f>
        <v>15900</v>
      </c>
      <c r="H45" s="361">
        <f t="shared" ref="H45:H49" ca="1" si="16">IF(OR(D45="MDU",D45="MDU-KD"),(IF($O$3="RAB NON MDU","PLN KD",G45*F45)),0)</f>
        <v>0</v>
      </c>
      <c r="I45" s="361">
        <f t="shared" ref="I45:I49" ca="1" si="17">IF(D45="HDW",G45*F45,0)</f>
        <v>47700</v>
      </c>
      <c r="J45" s="361">
        <f t="shared" ref="J45:J49" ca="1" si="18">IF(D45="JASA",G45*F45,0)</f>
        <v>0</v>
      </c>
      <c r="K45" s="362">
        <f t="shared" ref="K45:K49" ca="1" si="19">SUM(H45:J45)</f>
        <v>47700</v>
      </c>
      <c r="L45" s="369"/>
      <c r="M45" s="369"/>
      <c r="N45" s="369"/>
      <c r="O45" s="363"/>
      <c r="P45" s="363"/>
      <c r="Q45" s="344"/>
      <c r="R45" s="336"/>
      <c r="S45" s="364"/>
      <c r="T45" s="341"/>
      <c r="U45" s="341"/>
      <c r="V45" s="341"/>
    </row>
    <row r="46" spans="1:22" s="370" customFormat="1">
      <c r="A46" s="336"/>
      <c r="B46" s="500"/>
      <c r="C46" s="109"/>
      <c r="D46" s="358"/>
      <c r="E46" s="359"/>
      <c r="F46" s="368"/>
      <c r="G46" s="360"/>
      <c r="H46" s="361"/>
      <c r="I46" s="361"/>
      <c r="J46" s="361"/>
      <c r="K46" s="362"/>
      <c r="L46" s="369"/>
      <c r="M46" s="369"/>
      <c r="N46" s="369"/>
      <c r="O46" s="363"/>
      <c r="P46" s="363"/>
      <c r="Q46" s="344"/>
      <c r="R46" s="336"/>
      <c r="S46" s="364"/>
      <c r="T46" s="341"/>
      <c r="U46" s="341"/>
      <c r="V46" s="341"/>
    </row>
    <row r="47" spans="1:22" s="365" customFormat="1">
      <c r="A47" s="336"/>
      <c r="B47" s="374" t="s">
        <v>1549</v>
      </c>
      <c r="C47" s="375" t="s">
        <v>1616</v>
      </c>
      <c r="D47" s="358" t="str">
        <f ca="1">IF(ISERROR(OFFSET('HARGA SATUAN'!$D$6,MATCH(RAB!C47,'HARGA SATUAN'!$C$7:$C$1492,0),0)),"",OFFSET('HARGA SATUAN'!$D$6,MATCH(RAB!C47,'HARGA SATUAN'!$C$7:$C$1492,0),0))</f>
        <v/>
      </c>
      <c r="E47" s="359" t="str">
        <f ca="1">IF(B47="+","Unit",IF(ISERROR(OFFSET('HARGA SATUAN'!$E$6,MATCH(RAB!C47,'HARGA SATUAN'!$C$7:$C$1492,0),0)),"",OFFSET('HARGA SATUAN'!$E$6,MATCH(RAB!C47,'HARGA SATUAN'!$C$7:$C$1492,0),0)))</f>
        <v/>
      </c>
      <c r="F47" s="368"/>
      <c r="G47" s="360">
        <f ca="1">IF(ISERROR(OFFSET('HARGA SATUAN'!$I$6,MATCH(RAB!C47,'HARGA SATUAN'!$C$7:$C$1492,0),0)),0,OFFSET('HARGA SATUAN'!$I$6,MATCH(RAB!C47,'HARGA SATUAN'!$C$7:$C$1492,0),0))</f>
        <v>0</v>
      </c>
      <c r="H47" s="361">
        <f t="shared" ca="1" si="16"/>
        <v>0</v>
      </c>
      <c r="I47" s="361">
        <f t="shared" ca="1" si="17"/>
        <v>0</v>
      </c>
      <c r="J47" s="361">
        <f t="shared" ca="1" si="18"/>
        <v>0</v>
      </c>
      <c r="K47" s="362">
        <f t="shared" ca="1" si="19"/>
        <v>0</v>
      </c>
      <c r="L47" s="342"/>
      <c r="M47" s="342"/>
      <c r="N47" s="369"/>
      <c r="O47" s="344"/>
      <c r="P47" s="344"/>
      <c r="Q47" s="399"/>
      <c r="R47" s="344"/>
      <c r="S47" s="399"/>
      <c r="T47" s="400"/>
      <c r="U47" s="400"/>
      <c r="V47" s="400"/>
    </row>
    <row r="48" spans="1:22" s="365" customFormat="1">
      <c r="A48" s="336"/>
      <c r="B48" s="374"/>
      <c r="C48" s="375"/>
      <c r="D48" s="358" t="str">
        <f ca="1">IF(ISERROR(OFFSET('HARGA SATUAN'!$D$6,MATCH(RAB!C48,'HARGA SATUAN'!$C$7:$C$1492,0),0)),"",OFFSET('HARGA SATUAN'!$D$6,MATCH(RAB!C48,'HARGA SATUAN'!$C$7:$C$1492,0),0))</f>
        <v/>
      </c>
      <c r="E48" s="359" t="str">
        <f ca="1">IF(B48="+","Unit",IF(ISERROR(OFFSET('HARGA SATUAN'!$E$6,MATCH(RAB!C48,'HARGA SATUAN'!$C$7:$C$1492,0),0)),"",OFFSET('HARGA SATUAN'!$E$6,MATCH(RAB!C48,'HARGA SATUAN'!$C$7:$C$1492,0),0)))</f>
        <v/>
      </c>
      <c r="F48" s="368"/>
      <c r="G48" s="360">
        <f ca="1">IF(ISERROR(OFFSET('HARGA SATUAN'!$I$6,MATCH(RAB!C48,'HARGA SATUAN'!$C$7:$C$1492,0),0)),0,OFFSET('HARGA SATUAN'!$I$6,MATCH(RAB!C48,'HARGA SATUAN'!$C$7:$C$1492,0),0))</f>
        <v>0</v>
      </c>
      <c r="H48" s="361">
        <f t="shared" ca="1" si="16"/>
        <v>0</v>
      </c>
      <c r="I48" s="361">
        <f t="shared" ca="1" si="17"/>
        <v>0</v>
      </c>
      <c r="J48" s="361">
        <f t="shared" ca="1" si="18"/>
        <v>0</v>
      </c>
      <c r="K48" s="362">
        <f t="shared" ca="1" si="19"/>
        <v>0</v>
      </c>
      <c r="L48" s="342"/>
      <c r="M48" s="342"/>
      <c r="N48" s="369"/>
      <c r="O48" s="344"/>
      <c r="P48" s="344"/>
      <c r="Q48" s="399"/>
      <c r="R48" s="344"/>
      <c r="S48" s="399"/>
      <c r="T48" s="400"/>
      <c r="U48" s="400"/>
      <c r="V48" s="400"/>
    </row>
    <row r="49" spans="1:22" s="365" customFormat="1">
      <c r="A49" s="336"/>
      <c r="B49" s="374" t="s">
        <v>1550</v>
      </c>
      <c r="C49" s="375" t="s">
        <v>1457</v>
      </c>
      <c r="D49" s="358" t="str">
        <f ca="1">IF(ISERROR(OFFSET('HARGA SATUAN'!$D$6,MATCH(RAB!C49,'HARGA SATUAN'!$C$7:$C$1492,0),0)),"",OFFSET('HARGA SATUAN'!$D$6,MATCH(RAB!C49,'HARGA SATUAN'!$C$7:$C$1492,0),0))</f>
        <v/>
      </c>
      <c r="E49" s="359" t="str">
        <f ca="1">IF(B49="+","Unit",IF(ISERROR(OFFSET('HARGA SATUAN'!$E$6,MATCH(RAB!C49,'HARGA SATUAN'!$C$7:$C$1492,0),0)),"",OFFSET('HARGA SATUAN'!$E$6,MATCH(RAB!C49,'HARGA SATUAN'!$C$7:$C$1492,0),0)))</f>
        <v/>
      </c>
      <c r="F49" s="368"/>
      <c r="G49" s="360">
        <f ca="1">IF(ISERROR(OFFSET('HARGA SATUAN'!$I$6,MATCH(RAB!C49,'HARGA SATUAN'!$C$7:$C$1492,0),0)),0,OFFSET('HARGA SATUAN'!$I$6,MATCH(RAB!C49,'HARGA SATUAN'!$C$7:$C$1492,0),0))</f>
        <v>0</v>
      </c>
      <c r="H49" s="361">
        <f t="shared" ca="1" si="16"/>
        <v>0</v>
      </c>
      <c r="I49" s="361">
        <f t="shared" ca="1" si="17"/>
        <v>0</v>
      </c>
      <c r="J49" s="361">
        <f t="shared" ca="1" si="18"/>
        <v>0</v>
      </c>
      <c r="K49" s="362">
        <f t="shared" ca="1" si="19"/>
        <v>0</v>
      </c>
      <c r="L49" s="342"/>
      <c r="M49" s="342"/>
      <c r="N49" s="369"/>
      <c r="O49" s="344"/>
      <c r="P49" s="344"/>
      <c r="Q49" s="399"/>
      <c r="R49" s="344"/>
      <c r="S49" s="399"/>
      <c r="T49" s="400"/>
      <c r="U49" s="400"/>
      <c r="V49" s="400"/>
    </row>
    <row r="50" spans="1:22" s="365" customFormat="1">
      <c r="A50" s="336"/>
      <c r="B50" s="374"/>
      <c r="C50" s="375"/>
      <c r="D50" s="358" t="str">
        <f ca="1">IF(ISERROR(OFFSET('HARGA SATUAN'!$D$6,MATCH(RAB!C50,'HARGA SATUAN'!$C$7:$C$1492,0),0)),"",OFFSET('HARGA SATUAN'!$D$6,MATCH(RAB!C50,'HARGA SATUAN'!$C$7:$C$1492,0),0))</f>
        <v/>
      </c>
      <c r="E50" s="359" t="str">
        <f ca="1">IF(B50="+","Unit",IF(ISERROR(OFFSET('HARGA SATUAN'!$E$6,MATCH(RAB!C50,'HARGA SATUAN'!$C$7:$C$1492,0),0)),"",OFFSET('HARGA SATUAN'!$E$6,MATCH(RAB!C50,'HARGA SATUAN'!$C$7:$C$1492,0),0)))</f>
        <v/>
      </c>
      <c r="F50" s="368"/>
      <c r="G50" s="360">
        <f ca="1">IF(ISERROR(OFFSET('HARGA SATUAN'!$I$6,MATCH(RAB!C50,'HARGA SATUAN'!$C$7:$C$1492,0),0)),0,OFFSET('HARGA SATUAN'!$I$6,MATCH(RAB!C50,'HARGA SATUAN'!$C$7:$C$1492,0),0))</f>
        <v>0</v>
      </c>
      <c r="H50" s="361">
        <f t="shared" ref="H50" ca="1" si="20">IF(OR(D50="MDU",D50="MDU-KD"),(IF($O$3="RAB NON MDU","PLN KD",G50*F50)),0)</f>
        <v>0</v>
      </c>
      <c r="I50" s="361">
        <f t="shared" ref="I50" ca="1" si="21">IF(D50="HDW",G50*F50,0)</f>
        <v>0</v>
      </c>
      <c r="J50" s="361">
        <f t="shared" ref="J50" ca="1" si="22">IF(D50="JASA",G50*F50,0)</f>
        <v>0</v>
      </c>
      <c r="K50" s="362">
        <f t="shared" ref="K50" ca="1" si="23">SUM(H50:J50)</f>
        <v>0</v>
      </c>
      <c r="L50" s="342"/>
      <c r="M50" s="342"/>
      <c r="N50" s="369"/>
      <c r="O50" s="344"/>
      <c r="P50" s="344"/>
      <c r="Q50" s="399"/>
      <c r="R50" s="344"/>
      <c r="S50" s="399"/>
      <c r="T50" s="400"/>
      <c r="U50" s="400"/>
      <c r="V50" s="400"/>
    </row>
    <row r="51" spans="1:22" s="365" customFormat="1">
      <c r="A51" s="336"/>
      <c r="B51" s="503" t="s">
        <v>1035</v>
      </c>
      <c r="C51" s="504" t="s">
        <v>1622</v>
      </c>
      <c r="D51" s="358" t="str">
        <f ca="1">IF(ISERROR(OFFSET('HARGA SATUAN'!$D$6,MATCH(RAB!C51,'HARGA SATUAN'!$C$7:$C$1492,0),0)),"",OFFSET('HARGA SATUAN'!$D$6,MATCH(RAB!C51,'HARGA SATUAN'!$C$7:$C$1492,0),0))</f>
        <v/>
      </c>
      <c r="E51" s="359" t="str">
        <f ca="1">IF(B51="+","Unit",IF(ISERROR(OFFSET('HARGA SATUAN'!$E$6,MATCH(RAB!C51,'HARGA SATUAN'!$C$7:$C$1492,0),0)),"",OFFSET('HARGA SATUAN'!$E$6,MATCH(RAB!C51,'HARGA SATUAN'!$C$7:$C$1492,0),0)))</f>
        <v>Unit</v>
      </c>
      <c r="F51" s="511">
        <v>1</v>
      </c>
      <c r="G51" s="360">
        <f ca="1">IF(ISERROR(OFFSET('HARGA SATUAN'!$I$6,MATCH(RAB!C51,'HARGA SATUAN'!$C$7:$C$1492,0),0)),0,OFFSET('HARGA SATUAN'!$I$6,MATCH(RAB!C51,'HARGA SATUAN'!$C$7:$C$1492,0),0))</f>
        <v>0</v>
      </c>
      <c r="H51" s="361">
        <f t="shared" ref="H51:H55" ca="1" si="24">IF(OR(D51="MDU",D51="MDU-KD"),(IF($O$3="RAB NON MDU","PLN KD",G51*F51)),0)</f>
        <v>0</v>
      </c>
      <c r="I51" s="361">
        <f t="shared" ref="I51:I55" ca="1" si="25">IF(D51="HDW",G51*F51,0)</f>
        <v>0</v>
      </c>
      <c r="J51" s="361">
        <f t="shared" ref="J51:J55" ca="1" si="26">IF(D51="JASA",G51*F51,0)</f>
        <v>0</v>
      </c>
      <c r="K51" s="362">
        <f t="shared" ref="K51:K55" ca="1" si="27">SUM(H51:J51)</f>
        <v>0</v>
      </c>
      <c r="L51" s="342"/>
      <c r="M51" s="342"/>
      <c r="N51" s="369"/>
      <c r="O51" s="344"/>
      <c r="P51" s="344"/>
      <c r="Q51" s="344"/>
      <c r="R51" s="344"/>
      <c r="S51" s="344"/>
      <c r="T51" s="404"/>
      <c r="U51" s="404"/>
      <c r="V51" s="404"/>
    </row>
    <row r="52" spans="1:22" s="365" customFormat="1" ht="30">
      <c r="A52" s="336"/>
      <c r="B52" s="509">
        <v>1</v>
      </c>
      <c r="C52" s="109" t="s">
        <v>1141</v>
      </c>
      <c r="D52" s="358" t="str">
        <f ca="1">IF(ISERROR(OFFSET('HARGA SATUAN'!$D$6,MATCH(RAB!C52,'HARGA SATUAN'!$C$7:$C$1492,0),0)),"",OFFSET('HARGA SATUAN'!$D$6,MATCH(RAB!C52,'HARGA SATUAN'!$C$7:$C$1492,0),0))</f>
        <v>MDU-KD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11">
        <f>F51*1</f>
        <v>1</v>
      </c>
      <c r="G52" s="360">
        <f ca="1">IF(ISERROR(OFFSET('HARGA SATUAN'!$I$6,MATCH(RAB!C52,'HARGA SATUAN'!$C$7:$C$1492,0),0)),0,OFFSET('HARGA SATUAN'!$I$6,MATCH(RAB!C52,'HARGA SATUAN'!$C$7:$C$1492,0),0))</f>
        <v>1740750</v>
      </c>
      <c r="H52" s="361">
        <f t="shared" ca="1" si="24"/>
        <v>1740750</v>
      </c>
      <c r="I52" s="361">
        <f t="shared" ca="1" si="25"/>
        <v>0</v>
      </c>
      <c r="J52" s="361">
        <f t="shared" ca="1" si="26"/>
        <v>0</v>
      </c>
      <c r="K52" s="362">
        <f t="shared" ca="1" si="27"/>
        <v>1740750</v>
      </c>
      <c r="L52" s="342"/>
      <c r="M52" s="342"/>
      <c r="N52" s="369"/>
      <c r="O52" s="344"/>
      <c r="P52" s="344"/>
      <c r="Q52" s="344"/>
      <c r="R52" s="344"/>
      <c r="S52" s="344"/>
      <c r="T52" s="400"/>
      <c r="U52" s="400"/>
      <c r="V52" s="400"/>
    </row>
    <row r="53" spans="1:22" s="365" customFormat="1">
      <c r="A53" s="336"/>
      <c r="B53" s="509">
        <v>2</v>
      </c>
      <c r="C53" s="510" t="s">
        <v>493</v>
      </c>
      <c r="D53" s="358" t="str">
        <f ca="1">IF(ISERROR(OFFSET('HARGA SATUAN'!$D$6,MATCH(RAB!C53,'HARGA SATUAN'!$C$7:$C$1492,0),0)),"",OFFSET('HARGA SATUAN'!$D$6,MATCH(RAB!C53,'HARGA SATUAN'!$C$7:$C$1492,0),0))</f>
        <v>MDU-KD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11">
        <f>F51*1</f>
        <v>1</v>
      </c>
      <c r="G53" s="360">
        <f ca="1">IF(ISERROR(OFFSET('HARGA SATUAN'!$I$6,MATCH(RAB!C53,'HARGA SATUAN'!$C$7:$C$1492,0),0)),0,OFFSET('HARGA SATUAN'!$I$6,MATCH(RAB!C53,'HARGA SATUAN'!$C$7:$C$1492,0),0))</f>
        <v>39000</v>
      </c>
      <c r="H53" s="361">
        <f t="shared" ca="1" si="24"/>
        <v>39000</v>
      </c>
      <c r="I53" s="361">
        <f t="shared" ca="1" si="25"/>
        <v>0</v>
      </c>
      <c r="J53" s="361">
        <f t="shared" ca="1" si="26"/>
        <v>0</v>
      </c>
      <c r="K53" s="362">
        <f t="shared" ca="1" si="27"/>
        <v>39000</v>
      </c>
      <c r="L53" s="342"/>
      <c r="M53" s="342"/>
      <c r="N53" s="369"/>
      <c r="O53" s="344"/>
      <c r="P53" s="344"/>
      <c r="Q53" s="344"/>
      <c r="R53" s="344"/>
      <c r="S53" s="344"/>
      <c r="T53" s="400"/>
      <c r="U53" s="400"/>
      <c r="V53" s="400"/>
    </row>
    <row r="54" spans="1:22" s="365" customFormat="1">
      <c r="A54" s="336"/>
      <c r="B54" s="509">
        <v>3</v>
      </c>
      <c r="C54" s="510" t="s">
        <v>74</v>
      </c>
      <c r="D54" s="358" t="str">
        <f ca="1">IF(ISERROR(OFFSET('HARGA SATUAN'!$D$6,MATCH(RAB!C54,'HARGA SATUAN'!$C$7:$C$1492,0),0)),"",OFFSET('HARGA SATUAN'!$D$6,MATCH(RAB!C54,'HARGA SATUAN'!$C$7:$C$1492,0),0))</f>
        <v>MDU-KD</v>
      </c>
      <c r="E54" s="359" t="str">
        <f ca="1">IF(B54="+","Unit",IF(ISERROR(OFFSET('HARGA SATUAN'!$E$6,MATCH(RAB!C54,'HARGA SATUAN'!$C$7:$C$1492,0),0)),"",OFFSET('HARGA SATUAN'!$E$6,MATCH(RAB!C54,'HARGA SATUAN'!$C$7:$C$1492,0),0)))</f>
        <v>Mtr</v>
      </c>
      <c r="F54" s="511">
        <f>F51*35</f>
        <v>35</v>
      </c>
      <c r="G54" s="360">
        <f ca="1">IF(ISERROR(OFFSET('HARGA SATUAN'!$I$6,MATCH(RAB!C54,'HARGA SATUAN'!$C$7:$C$1492,0),0)),0,OFFSET('HARGA SATUAN'!$I$6,MATCH(RAB!C54,'HARGA SATUAN'!$C$7:$C$1492,0),0))</f>
        <v>6600</v>
      </c>
      <c r="H54" s="361">
        <f t="shared" ca="1" si="24"/>
        <v>231000</v>
      </c>
      <c r="I54" s="361">
        <f t="shared" ca="1" si="25"/>
        <v>0</v>
      </c>
      <c r="J54" s="361">
        <f t="shared" ca="1" si="26"/>
        <v>0</v>
      </c>
      <c r="K54" s="362">
        <f t="shared" ca="1" si="27"/>
        <v>231000</v>
      </c>
      <c r="L54" s="342"/>
      <c r="M54" s="342"/>
      <c r="N54" s="369"/>
      <c r="O54" s="344"/>
      <c r="P54" s="344"/>
      <c r="Q54" s="344"/>
      <c r="R54" s="344"/>
      <c r="S54" s="344"/>
      <c r="T54" s="404"/>
      <c r="U54" s="404"/>
      <c r="V54" s="404"/>
    </row>
    <row r="55" spans="1:22" s="365" customFormat="1">
      <c r="A55" s="336"/>
      <c r="B55" s="509">
        <v>4</v>
      </c>
      <c r="C55" s="510" t="s">
        <v>798</v>
      </c>
      <c r="D55" s="358" t="str">
        <f ca="1">IF(ISERROR(OFFSET('HARGA SATUAN'!$D$6,MATCH(RAB!C55,'HARGA SATUAN'!$C$7:$C$1492,0),0)),"",OFFSET('HARGA SATUAN'!$D$6,MATCH(RAB!C55,'HARGA SATUAN'!$C$7:$C$1492,0),0))</f>
        <v>JASA</v>
      </c>
      <c r="E55" s="359" t="str">
        <f ca="1">IF(B55="+","Unit",IF(ISERROR(OFFSET('HARGA SATUAN'!$E$6,MATCH(RAB!C55,'HARGA SATUAN'!$C$7:$C$1492,0),0)),"",OFFSET('HARGA SATUAN'!$E$6,MATCH(RAB!C55,'HARGA SATUAN'!$C$7:$C$1492,0),0)))</f>
        <v>Unit</v>
      </c>
      <c r="F55" s="511">
        <f>F51*1</f>
        <v>1</v>
      </c>
      <c r="G55" s="360">
        <f ca="1">IF(ISERROR(OFFSET('HARGA SATUAN'!$I$6,MATCH(RAB!C55,'HARGA SATUAN'!$C$7:$C$1492,0),0)),0,OFFSET('HARGA SATUAN'!$I$6,MATCH(RAB!C55,'HARGA SATUAN'!$C$7:$C$1492,0),0))</f>
        <v>54400</v>
      </c>
      <c r="H55" s="361">
        <f t="shared" ca="1" si="24"/>
        <v>0</v>
      </c>
      <c r="I55" s="361">
        <f t="shared" ca="1" si="25"/>
        <v>0</v>
      </c>
      <c r="J55" s="361">
        <f t="shared" ca="1" si="26"/>
        <v>54400</v>
      </c>
      <c r="K55" s="362">
        <f t="shared" ca="1" si="27"/>
        <v>54400</v>
      </c>
      <c r="L55" s="407" t="e">
        <f ca="1">PROPER([94]!terbilang(K74))</f>
        <v>#NAME?</v>
      </c>
      <c r="M55" s="407"/>
      <c r="N55" s="369"/>
      <c r="O55" s="344"/>
      <c r="P55" s="344"/>
      <c r="Q55" s="344"/>
    </row>
    <row r="56" spans="1:22">
      <c r="B56" s="498"/>
      <c r="C56" s="507"/>
      <c r="D56" s="358"/>
      <c r="E56" s="359"/>
      <c r="F56" s="368"/>
      <c r="G56" s="360"/>
      <c r="H56" s="361"/>
      <c r="I56" s="361"/>
      <c r="J56" s="361"/>
      <c r="K56" s="362"/>
    </row>
    <row r="57" spans="1:22">
      <c r="B57" s="509" t="s">
        <v>1035</v>
      </c>
      <c r="C57" s="510" t="s">
        <v>1623</v>
      </c>
      <c r="D57" s="358" t="str">
        <f ca="1">IF(ISERROR(OFFSET('HARGA SATUAN'!$D$6,MATCH(RAB!C57,'HARGA SATUAN'!$C$7:$C$1492,0),0)),"",OFFSET('HARGA SATUAN'!$D$6,MATCH(RAB!C57,'HARGA SATUAN'!$C$7:$C$1492,0),0))</f>
        <v/>
      </c>
      <c r="E57" s="359" t="str">
        <f ca="1">IF(B57="+","Unit",IF(ISERROR(OFFSET('HARGA SATUAN'!$E$6,MATCH(RAB!C57,'HARGA SATUAN'!$C$7:$C$1492,0),0)),"",OFFSET('HARGA SATUAN'!$E$6,MATCH(RAB!C57,'HARGA SATUAN'!$C$7:$C$1492,0),0)))</f>
        <v>Unit</v>
      </c>
      <c r="F57" s="511">
        <v>1</v>
      </c>
      <c r="G57" s="360">
        <f ca="1">IF(ISERROR(OFFSET('HARGA SATUAN'!$I$6,MATCH(RAB!C57,'HARGA SATUAN'!$C$7:$C$1492,0),0)),0,OFFSET('HARGA SATUAN'!$I$6,MATCH(RAB!C57,'HARGA SATUAN'!$C$7:$C$1492,0),0))</f>
        <v>0</v>
      </c>
      <c r="H57" s="361">
        <f t="shared" ref="H57:H66" ca="1" si="28">IF(OR(D57="MDU",D57="MDU-KD"),(IF($O$3="RAB NON MDU","PLN KD",G57*F57)),0)</f>
        <v>0</v>
      </c>
      <c r="I57" s="361">
        <f t="shared" ref="I57:I66" ca="1" si="29">IF(D57="HDW",G57*F57,0)</f>
        <v>0</v>
      </c>
      <c r="J57" s="361">
        <f t="shared" ref="J57:J66" ca="1" si="30">IF(D57="JASA",G57*F57,0)</f>
        <v>0</v>
      </c>
      <c r="K57" s="362">
        <f t="shared" ref="K57:K66" ca="1" si="31">SUM(H57:J57)</f>
        <v>0</v>
      </c>
    </row>
    <row r="58" spans="1:22">
      <c r="B58" s="509">
        <v>1</v>
      </c>
      <c r="C58" s="510" t="s">
        <v>115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Set</v>
      </c>
      <c r="F58" s="511">
        <f>F57*1</f>
        <v>1</v>
      </c>
      <c r="G58" s="360">
        <f ca="1">IF(ISERROR(OFFSET('HARGA SATUAN'!$I$6,MATCH(RAB!C58,'HARGA SATUAN'!$C$7:$C$1492,0),0)),0,OFFSET('HARGA SATUAN'!$I$6,MATCH(RAB!C58,'HARGA SATUAN'!$C$7:$C$1492,0),0))</f>
        <v>11500</v>
      </c>
      <c r="H58" s="361">
        <f t="shared" ca="1" si="28"/>
        <v>0</v>
      </c>
      <c r="I58" s="361">
        <f t="shared" ca="1" si="29"/>
        <v>11500</v>
      </c>
      <c r="J58" s="361">
        <f t="shared" ca="1" si="30"/>
        <v>0</v>
      </c>
      <c r="K58" s="362">
        <f t="shared" ca="1" si="31"/>
        <v>11500</v>
      </c>
    </row>
    <row r="59" spans="1:22">
      <c r="B59" s="509">
        <v>2</v>
      </c>
      <c r="C59" s="510" t="s">
        <v>145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Set</v>
      </c>
      <c r="F59" s="511">
        <f>F57*1</f>
        <v>1</v>
      </c>
      <c r="G59" s="360">
        <f ca="1">IF(ISERROR(OFFSET('HARGA SATUAN'!$I$6,MATCH(RAB!C59,'HARGA SATUAN'!$C$7:$C$1492,0),0)),0,OFFSET('HARGA SATUAN'!$I$6,MATCH(RAB!C59,'HARGA SATUAN'!$C$7:$C$1492,0),0))</f>
        <v>6200</v>
      </c>
      <c r="H59" s="361">
        <f t="shared" ca="1" si="28"/>
        <v>0</v>
      </c>
      <c r="I59" s="361">
        <f t="shared" ca="1" si="29"/>
        <v>6200</v>
      </c>
      <c r="J59" s="361">
        <f t="shared" ca="1" si="30"/>
        <v>0</v>
      </c>
      <c r="K59" s="362">
        <f t="shared" ca="1" si="31"/>
        <v>6200</v>
      </c>
    </row>
    <row r="60" spans="1:22">
      <c r="B60" s="509">
        <v>3</v>
      </c>
      <c r="C60" s="510" t="s">
        <v>587</v>
      </c>
      <c r="D60" s="358" t="str">
        <f ca="1">IF(ISERROR(OFFSET('HARGA SATUAN'!$D$6,MATCH(RAB!C60,'HARGA SATUAN'!$C$7:$C$1492,0),0)),"",OFFSET('HARGA SATUAN'!$D$6,MATCH(RAB!C60,'HARGA SATUAN'!$C$7:$C$1492,0),0))</f>
        <v>HDW</v>
      </c>
      <c r="E60" s="359" t="str">
        <f ca="1">IF(B60="+","Unit",IF(ISERROR(OFFSET('HARGA SATUAN'!$E$6,MATCH(RAB!C60,'HARGA SATUAN'!$C$7:$C$1492,0),0)),"",OFFSET('HARGA SATUAN'!$E$6,MATCH(RAB!C60,'HARGA SATUAN'!$C$7:$C$1492,0),0)))</f>
        <v>Btg</v>
      </c>
      <c r="F60" s="511">
        <f>F57*1</f>
        <v>1</v>
      </c>
      <c r="G60" s="360">
        <f ca="1">IF(ISERROR(OFFSET('HARGA SATUAN'!$I$6,MATCH(RAB!C60,'HARGA SATUAN'!$C$7:$C$1492,0),0)),0,OFFSET('HARGA SATUAN'!$I$6,MATCH(RAB!C60,'HARGA SATUAN'!$C$7:$C$1492,0),0))</f>
        <v>45796</v>
      </c>
      <c r="H60" s="361">
        <f t="shared" ca="1" si="28"/>
        <v>0</v>
      </c>
      <c r="I60" s="361">
        <f t="shared" ca="1" si="29"/>
        <v>45796</v>
      </c>
      <c r="J60" s="361">
        <f t="shared" ca="1" si="30"/>
        <v>0</v>
      </c>
      <c r="K60" s="362">
        <f t="shared" ca="1" si="31"/>
        <v>45796</v>
      </c>
    </row>
    <row r="61" spans="1:22">
      <c r="B61" s="509">
        <v>4</v>
      </c>
      <c r="C61" s="510" t="s">
        <v>118</v>
      </c>
      <c r="D61" s="358" t="str">
        <f ca="1">IF(ISERROR(OFFSET('HARGA SATUAN'!$D$6,MATCH(RAB!C61,'HARGA SATUAN'!$C$7:$C$1492,0),0)),"",OFFSET('HARGA SATUAN'!$D$6,MATCH(RAB!C61,'HARGA SATUAN'!$C$7:$C$1492,0),0))</f>
        <v>HDW</v>
      </c>
      <c r="E61" s="359" t="str">
        <f ca="1">IF(B61="+","Unit",IF(ISERROR(OFFSET('HARGA SATUAN'!$E$6,MATCH(RAB!C61,'HARGA SATUAN'!$C$7:$C$1492,0),0)),"",OFFSET('HARGA SATUAN'!$E$6,MATCH(RAB!C61,'HARGA SATUAN'!$C$7:$C$1492,0),0)))</f>
        <v>Set</v>
      </c>
      <c r="F61" s="511">
        <f>F57*1</f>
        <v>1</v>
      </c>
      <c r="G61" s="360">
        <f ca="1">IF(ISERROR(OFFSET('HARGA SATUAN'!$I$6,MATCH(RAB!C61,'HARGA SATUAN'!$C$7:$C$1492,0),0)),0,OFFSET('HARGA SATUAN'!$I$6,MATCH(RAB!C61,'HARGA SATUAN'!$C$7:$C$1492,0),0))</f>
        <v>5300</v>
      </c>
      <c r="H61" s="361">
        <f t="shared" ca="1" si="28"/>
        <v>0</v>
      </c>
      <c r="I61" s="361">
        <f t="shared" ca="1" si="29"/>
        <v>5300</v>
      </c>
      <c r="J61" s="361">
        <f t="shared" ca="1" si="30"/>
        <v>0</v>
      </c>
      <c r="K61" s="362">
        <f t="shared" ca="1" si="31"/>
        <v>5300</v>
      </c>
    </row>
    <row r="62" spans="1:22">
      <c r="B62" s="509">
        <v>5</v>
      </c>
      <c r="C62" s="510" t="s">
        <v>117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511">
        <f>F57*1</f>
        <v>1</v>
      </c>
      <c r="G62" s="360">
        <f ca="1">IF(ISERROR(OFFSET('HARGA SATUAN'!$I$6,MATCH(RAB!C62,'HARGA SATUAN'!$C$7:$C$1492,0),0)),0,OFFSET('HARGA SATUAN'!$I$6,MATCH(RAB!C62,'HARGA SATUAN'!$C$7:$C$1492,0),0))</f>
        <v>58600</v>
      </c>
      <c r="H62" s="361">
        <f t="shared" ca="1" si="28"/>
        <v>0</v>
      </c>
      <c r="I62" s="361">
        <f t="shared" ca="1" si="29"/>
        <v>58600</v>
      </c>
      <c r="J62" s="361">
        <f t="shared" ca="1" si="30"/>
        <v>0</v>
      </c>
      <c r="K62" s="362">
        <f t="shared" ca="1" si="31"/>
        <v>58600</v>
      </c>
    </row>
    <row r="63" spans="1:22">
      <c r="B63" s="509">
        <v>6</v>
      </c>
      <c r="C63" s="109" t="s">
        <v>1154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Set</v>
      </c>
      <c r="F63" s="511">
        <f>F57*1</f>
        <v>1</v>
      </c>
      <c r="G63" s="360">
        <f ca="1">IF(ISERROR(OFFSET('HARGA SATUAN'!$I$6,MATCH(RAB!C63,'HARGA SATUAN'!$C$7:$C$1492,0),0)),0,OFFSET('HARGA SATUAN'!$I$6,MATCH(RAB!C63,'HARGA SATUAN'!$C$7:$C$1492,0),0))</f>
        <v>3888</v>
      </c>
      <c r="H63" s="361">
        <f t="shared" ca="1" si="28"/>
        <v>0</v>
      </c>
      <c r="I63" s="361">
        <f t="shared" ca="1" si="29"/>
        <v>3888</v>
      </c>
      <c r="J63" s="361">
        <f t="shared" ca="1" si="30"/>
        <v>0</v>
      </c>
      <c r="K63" s="362">
        <f t="shared" ca="1" si="31"/>
        <v>3888</v>
      </c>
    </row>
    <row r="64" spans="1:22">
      <c r="B64" s="509">
        <v>7</v>
      </c>
      <c r="C64" s="510" t="s">
        <v>119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Set</v>
      </c>
      <c r="F64" s="511">
        <f>F57*2</f>
        <v>2</v>
      </c>
      <c r="G64" s="360">
        <f ca="1">IF(ISERROR(OFFSET('HARGA SATUAN'!$I$6,MATCH(RAB!C64,'HARGA SATUAN'!$C$7:$C$1492,0),0)),0,OFFSET('HARGA SATUAN'!$I$6,MATCH(RAB!C64,'HARGA SATUAN'!$C$7:$C$1492,0),0))</f>
        <v>8900</v>
      </c>
      <c r="H64" s="361">
        <f t="shared" ca="1" si="28"/>
        <v>0</v>
      </c>
      <c r="I64" s="361">
        <f t="shared" ca="1" si="29"/>
        <v>17800</v>
      </c>
      <c r="J64" s="361">
        <f t="shared" ca="1" si="30"/>
        <v>0</v>
      </c>
      <c r="K64" s="362">
        <f t="shared" ca="1" si="31"/>
        <v>17800</v>
      </c>
    </row>
    <row r="65" spans="2:13">
      <c r="B65" s="376"/>
      <c r="C65" s="373"/>
      <c r="D65" s="358" t="str">
        <f ca="1">IF(ISERROR(OFFSET('HARGA SATUAN'!$D$6,MATCH(RAB!C65,'HARGA SATUAN'!$C$7:$C$1492,0),0)),"",OFFSET('HARGA SATUAN'!$D$6,MATCH(RAB!C65,'HARGA SATUAN'!$C$7:$C$1492,0),0))</f>
        <v/>
      </c>
      <c r="E65" s="359" t="str">
        <f ca="1">IF(B65="+","Unit",IF(ISERROR(OFFSET('HARGA SATUAN'!$E$6,MATCH(RAB!C65,'HARGA SATUAN'!$C$7:$C$1492,0),0)),"",OFFSET('HARGA SATUAN'!$E$6,MATCH(RAB!C65,'HARGA SATUAN'!$C$7:$C$1492,0),0)))</f>
        <v/>
      </c>
      <c r="F65" s="368"/>
      <c r="G65" s="360">
        <f ca="1">IF(ISERROR(OFFSET('HARGA SATUAN'!$I$6,MATCH(RAB!C65,'HARGA SATUAN'!$C$7:$C$1492,0),0)),0,OFFSET('HARGA SATUAN'!$I$6,MATCH(RAB!C65,'HARGA SATUAN'!$C$7:$C$1492,0),0))</f>
        <v>0</v>
      </c>
      <c r="H65" s="361">
        <f t="shared" ca="1" si="28"/>
        <v>0</v>
      </c>
      <c r="I65" s="361">
        <f t="shared" ca="1" si="29"/>
        <v>0</v>
      </c>
      <c r="J65" s="361">
        <f t="shared" ca="1" si="30"/>
        <v>0</v>
      </c>
      <c r="K65" s="362">
        <f t="shared" ca="1" si="31"/>
        <v>0</v>
      </c>
    </row>
    <row r="66" spans="2:13">
      <c r="B66" s="374" t="s">
        <v>1550</v>
      </c>
      <c r="C66" s="375" t="s">
        <v>1612</v>
      </c>
      <c r="D66" s="358" t="str">
        <f ca="1">IF(ISERROR(OFFSET('HARGA SATUAN'!$D$6,MATCH(RAB!C66,'HARGA SATUAN'!$C$7:$C$1492,0),0)),"",OFFSET('HARGA SATUAN'!$D$6,MATCH(RAB!C66,'HARGA SATUAN'!$C$7:$C$1492,0),0))</f>
        <v/>
      </c>
      <c r="E66" s="359" t="str">
        <f ca="1">IF(B66="+","Unit",IF(ISERROR(OFFSET('HARGA SATUAN'!$E$6,MATCH(RAB!C66,'HARGA SATUAN'!$C$7:$C$1492,0),0)),"",OFFSET('HARGA SATUAN'!$E$6,MATCH(RAB!C66,'HARGA SATUAN'!$C$7:$C$1492,0),0)))</f>
        <v/>
      </c>
      <c r="F66" s="368"/>
      <c r="G66" s="360">
        <f ca="1">IF(ISERROR(OFFSET('HARGA SATUAN'!$I$6,MATCH(RAB!C66,'HARGA SATUAN'!$C$7:$C$1492,0),0)),0,OFFSET('HARGA SATUAN'!$I$6,MATCH(RAB!C66,'HARGA SATUAN'!$C$7:$C$1492,0),0))</f>
        <v>0</v>
      </c>
      <c r="H66" s="361">
        <f t="shared" ca="1" si="28"/>
        <v>0</v>
      </c>
      <c r="I66" s="361">
        <f t="shared" ca="1" si="29"/>
        <v>0</v>
      </c>
      <c r="J66" s="361">
        <f t="shared" ca="1" si="30"/>
        <v>0</v>
      </c>
      <c r="K66" s="362">
        <f t="shared" ca="1" si="31"/>
        <v>0</v>
      </c>
    </row>
    <row r="67" spans="2:13">
      <c r="B67" s="376"/>
      <c r="C67" s="109"/>
      <c r="D67" s="358"/>
      <c r="E67" s="359"/>
      <c r="F67" s="368"/>
      <c r="G67" s="360"/>
      <c r="H67" s="361"/>
      <c r="I67" s="361"/>
      <c r="J67" s="361"/>
      <c r="K67" s="362"/>
    </row>
    <row r="68" spans="2:13">
      <c r="B68" s="377"/>
      <c r="C68" s="378" t="s">
        <v>475</v>
      </c>
      <c r="D68" s="358" t="str">
        <f ca="1">IF(ISERROR(OFFSET('HARGA SATUAN'!$D$6,MATCH(RAB!C68,'HARGA SATUAN'!$C$7:$C$1492,0),0)),"",OFFSET('HARGA SATUAN'!$D$6,MATCH(RAB!C68,'HARGA SATUAN'!$C$7:$C$1492,0),0))</f>
        <v/>
      </c>
      <c r="E68" s="359" t="str">
        <f ca="1">IF(B68="+","Unit",IF(ISERROR(OFFSET('HARGA SATUAN'!$E$6,MATCH(RAB!C68,'HARGA SATUAN'!$C$7:$C$1492,0),0)),"",OFFSET('HARGA SATUAN'!$E$6,MATCH(RAB!C68,'HARGA SATUAN'!$C$7:$C$1492,0),0)))</f>
        <v/>
      </c>
      <c r="F68" s="368"/>
      <c r="G68" s="360">
        <f ca="1">IF(ISERROR(OFFSET('HARGA SATUAN'!$I$6,MATCH(RAB!C68,'HARGA SATUAN'!$C$7:$C$1492,0),0)),0,OFFSET('HARGA SATUAN'!$I$6,MATCH(RAB!C68,'HARGA SATUAN'!$C$7:$C$1492,0),0))</f>
        <v>0</v>
      </c>
      <c r="H68" s="361">
        <f t="shared" ref="H68" ca="1" si="32">IF(OR(D68="MDU",D68="MDU-KD"),(IF($O$3="RAB NON MDU","PLN KD",G68*F68)),0)</f>
        <v>0</v>
      </c>
      <c r="I68" s="361">
        <f t="shared" ref="I68" ca="1" si="33">IF(D68="HDW",G68*F68,0)</f>
        <v>0</v>
      </c>
      <c r="J68" s="361">
        <f t="shared" ref="J68" ca="1" si="34">IF(D68="JASA",G68*F68,0)</f>
        <v>0</v>
      </c>
      <c r="K68" s="362">
        <f t="shared" ref="K68" ca="1" si="35">SUM(H68:J68)</f>
        <v>0</v>
      </c>
    </row>
    <row r="69" spans="2:13">
      <c r="B69" s="380">
        <v>1</v>
      </c>
      <c r="C69" s="381" t="s">
        <v>1091</v>
      </c>
      <c r="D69" s="382" t="str">
        <f ca="1">IF(ISERROR(OFFSET('HARGA SATUAN'!$D$6,MATCH(RAB!C69,'HARGA SATUAN'!$C$7:$C$1492,0),0)),"",OFFSET('HARGA SATUAN'!$D$6,MATCH(RAB!C69,'HARGA SATUAN'!$C$7:$C$1492,0),0))</f>
        <v>JASA</v>
      </c>
      <c r="E69" s="383" t="str">
        <f ca="1">IF(ISERROR(OFFSET('HARGA SATUAN'!$E$6,MATCH(RAB!C69,'HARGA SATUAN'!$C$7:$C$1492,0),0)),"",OFFSET('HARGA SATUAN'!$E$6,MATCH(RAB!C69,'HARGA SATUAN'!$C$7:$C$1492,0),0))</f>
        <v>Lot</v>
      </c>
      <c r="F69" s="384">
        <v>1</v>
      </c>
      <c r="G69" s="385">
        <f ca="1">IF(ISERROR(OFFSET('HARGA SATUAN'!$I$6,MATCH(RAB!C69,'HARGA SATUAN'!$C$7:$C$1492,0),0)),0,OFFSET('HARGA SATUAN'!$I$6,MATCH(RAB!C69,'HARGA SATUAN'!$C$7:$C$1492,0),0))</f>
        <v>2.5000000000000001E-2</v>
      </c>
      <c r="H69" s="386">
        <f ca="1">2.5%*(SUM(H14:H68))</f>
        <v>390893.75</v>
      </c>
      <c r="I69" s="386">
        <f t="shared" ref="I69" ca="1" si="36">2.5%*(SUM(I14:I68))</f>
        <v>24145.606</v>
      </c>
      <c r="J69" s="386">
        <f ca="1">2.5%*(SUM(J14:J68))</f>
        <v>31110.25</v>
      </c>
      <c r="K69" s="387">
        <f ca="1">SUM(H69:J69)</f>
        <v>446149.60600000003</v>
      </c>
    </row>
    <row r="70" spans="2:13">
      <c r="B70" s="388"/>
      <c r="C70" s="389"/>
      <c r="D70" s="358" t="str">
        <f ca="1">IF(ISERROR(OFFSET('HARGA SATUAN'!$D$6,MATCH(RAB!C70,'HARGA SATUAN'!$C$7:$C$1492,0),0)),"",OFFSET('HARGA SATUAN'!$D$6,MATCH(RAB!C70,'HARGA SATUAN'!$C$7:$C$1492,0),0))</f>
        <v/>
      </c>
      <c r="E70" s="359" t="str">
        <f ca="1">IF(ISERROR(OFFSET('HARGA SATUAN'!$E$6,MATCH(RAB!C70,'HARGA SATUAN'!$C$7:$C$1492,0),0)),"",OFFSET('HARGA SATUAN'!$E$6,MATCH(RAB!C70,'HARGA SATUAN'!$C$7:$C$1492,0),0))</f>
        <v/>
      </c>
      <c r="F70" s="379"/>
      <c r="G70" s="360" t="str">
        <f ca="1">IF(ISERROR(OFFSET('HARGA SATUAN'!$I$6,MATCH(RAB!C70,'HARGA SATUAN'!$C$7:$C$1492,0),0)),"",OFFSET('HARGA SATUAN'!$I$6,MATCH(RAB!C70,'HARGA SATUAN'!$C$7:$C$1492,0),0))</f>
        <v/>
      </c>
      <c r="H70" s="361">
        <f ca="1">IF(OR(D70="MDU",D70="MDU-KD"),IF(G70="PLN",0,G70*F70),0)</f>
        <v>0</v>
      </c>
      <c r="I70" s="361">
        <f ca="1">IF(D70="HDW",IF(G70="PLN",0,G70*F70),0)</f>
        <v>0</v>
      </c>
      <c r="J70" s="361">
        <f ca="1">IF(D70="JASA",IF(G70="PLN",0,G70*F70),0)</f>
        <v>0</v>
      </c>
      <c r="K70" s="362">
        <f ca="1">SUM(H70:J70)</f>
        <v>0</v>
      </c>
    </row>
    <row r="71" spans="2:13" ht="15.75" thickBot="1">
      <c r="B71" s="390"/>
      <c r="C71" s="391"/>
      <c r="D71" s="392"/>
      <c r="E71" s="393"/>
      <c r="F71" s="393"/>
      <c r="G71" s="393"/>
      <c r="H71" s="394"/>
      <c r="I71" s="394"/>
      <c r="J71" s="394"/>
      <c r="K71" s="395"/>
    </row>
    <row r="72" spans="2:13">
      <c r="B72" s="396"/>
      <c r="C72" s="632" t="s">
        <v>1008</v>
      </c>
      <c r="D72" s="632"/>
      <c r="E72" s="632"/>
      <c r="F72" s="632"/>
      <c r="G72" s="397" t="s">
        <v>9</v>
      </c>
      <c r="H72" s="398">
        <f ca="1">SUM(H14:H70)</f>
        <v>16026643.75</v>
      </c>
      <c r="I72" s="398">
        <f ca="1">SUM(I14:I70)</f>
        <v>989969.84600000002</v>
      </c>
      <c r="J72" s="398">
        <f ca="1">SUM(J14:J70)</f>
        <v>1275520.25</v>
      </c>
      <c r="K72" s="398">
        <f ca="1">SUM(K14:K70)</f>
        <v>18292133.846000001</v>
      </c>
    </row>
    <row r="73" spans="2:13">
      <c r="B73" s="401"/>
      <c r="C73" s="615" t="s">
        <v>1460</v>
      </c>
      <c r="D73" s="615"/>
      <c r="E73" s="615"/>
      <c r="F73" s="615"/>
      <c r="G73" s="402" t="s">
        <v>9</v>
      </c>
      <c r="H73" s="403">
        <f ca="1">H72*0.11</f>
        <v>1762930.8125</v>
      </c>
      <c r="I73" s="403">
        <f ca="1">I72*0.11</f>
        <v>108896.68306</v>
      </c>
      <c r="J73" s="403">
        <f ca="1">J72*0.11</f>
        <v>140307.22750000001</v>
      </c>
      <c r="K73" s="403">
        <f ca="1">K72*0.11</f>
        <v>2012134.72306</v>
      </c>
    </row>
    <row r="74" spans="2:13" ht="15.75" thickBot="1">
      <c r="B74" s="401"/>
      <c r="C74" s="613" t="s">
        <v>463</v>
      </c>
      <c r="D74" s="613"/>
      <c r="E74" s="613"/>
      <c r="F74" s="613"/>
      <c r="G74" s="405" t="s">
        <v>9</v>
      </c>
      <c r="H74" s="406">
        <f ca="1">SUM(H72:H73)</f>
        <v>17789574.5625</v>
      </c>
      <c r="I74" s="406">
        <f ca="1">SUM(I72:I73)</f>
        <v>1098866.5290600001</v>
      </c>
      <c r="J74" s="405">
        <f ca="1">SUM(J72:J73)</f>
        <v>1415827.4775</v>
      </c>
      <c r="K74" s="405">
        <f ca="1">SUM(K72:K73)</f>
        <v>20304268.569060002</v>
      </c>
      <c r="M74" s="490">
        <v>20304269</v>
      </c>
    </row>
    <row r="75" spans="2:13">
      <c r="B75" s="616" t="str">
        <f ca="1">"Terbilang : "&amp;PROPER(IF(K74=0,"nol",IF(K74&lt;0,"minus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IF(--MID(TEXT(ABS(K74),"000000000000000"),1,3)=0,"",MID(TEXT(ABS(K74),"000000000000000"),1,1)&amp;" ratus "&amp;MID(TEXT(ABS(K74),"000000000000000"),2,1)&amp;" puluh "&amp;MID(TEXT(ABS(K74),"000000000000000"),3,1)&amp;" trilyun ")&amp; IF(--MID(TEXT(ABS(K74),"000000000000000"),4,3)=0,"",MID(TEXT(ABS(K74),"000000000000000"),4,1)&amp;" ratus "&amp;MID(TEXT(ABS(K74),"000000000000000"),5,1)&amp;" puluh "&amp;MID(TEXT(ABS(K74),"000000000000000"),6,1)&amp;" milyar ")&amp; IF(--MID(TEXT(ABS(K74),"000000000000000"),7,3)=0,"",MID(TEXT(ABS(K74),"000000000000000"),7,1)&amp;" ratus "&amp;MID(TEXT(ABS(K74),"000000000000000"),8,1)&amp;" puluh "&amp;MID(TEXT(ABS(K74),"000000000000000"),9,1)&amp;" juta ")&amp; IF(--MID(TEXT(ABS(K74),"000000000000000"),10,3)=0,"",IF(--MID(TEXT(ABS(K74),"000000000000000"),10,3)=1,"*",MID(TEXT(ABS(K74),"000000000000000"),10,1)&amp;" ratus "&amp;MID(TEXT(ABS(K74),"000000000000000"),11,1)&amp;" puluh ")&amp;MID(TEXT(ABS(K74),"000000000000000"),12,1)&amp;" ribu ")&amp; IF(--MID(TEXT(ABS(K74),"000000000000000"),13,3)=0,"",MID(TEXT(ABS(K74),"000000000000000"),13,1)&amp;" ratus "&amp;MID(TEXT(ABS(K74),"000000000000000"),14,1)&amp;" puluh "&amp;MID(TEXT(ABS(K74),"000000000000000"),15,1)),1,"satu"),2,"dua"),3,"tiga"),4,"empat"),5,"lima"),6,"enam"),7,"tujuh"),8,"delapan"),9,"sembilan"),"0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Puluh Juta Tiga Ratus Empat Ribu Dua Ratus Enam Puluh Sembilan Rupiah</v>
      </c>
      <c r="C75" s="617"/>
      <c r="D75" s="617"/>
      <c r="E75" s="617"/>
      <c r="F75" s="617"/>
      <c r="G75" s="617"/>
      <c r="H75" s="617"/>
      <c r="I75" s="617"/>
      <c r="J75" s="617"/>
      <c r="K75" s="618"/>
    </row>
    <row r="76" spans="2:13">
      <c r="B76" s="619"/>
      <c r="C76" s="620"/>
      <c r="D76" s="620"/>
      <c r="E76" s="620"/>
      <c r="F76" s="620"/>
      <c r="G76" s="620"/>
      <c r="H76" s="620"/>
      <c r="I76" s="620"/>
      <c r="J76" s="620"/>
      <c r="K76" s="621"/>
    </row>
    <row r="77" spans="2:13" ht="15.75" thickBot="1">
      <c r="B77" s="408" t="str">
        <f>"Harga yang dipakai adalah "&amp;'HARGA SATUAN'!I5&amp;""</f>
        <v>Harga yang dipakai adalah RAB HSS 2023</v>
      </c>
      <c r="C77" s="409"/>
      <c r="D77" s="410"/>
      <c r="E77" s="410"/>
      <c r="F77" s="410"/>
      <c r="G77" s="411"/>
      <c r="H77" s="411"/>
      <c r="I77" s="411"/>
      <c r="J77" s="411"/>
      <c r="K77" s="412"/>
    </row>
    <row r="78" spans="2:13">
      <c r="C78" s="413"/>
      <c r="E78" s="415"/>
      <c r="F78" s="415"/>
      <c r="G78" s="415"/>
    </row>
    <row r="79" spans="2:13">
      <c r="C79" s="337"/>
      <c r="E79" s="415"/>
      <c r="F79" s="415"/>
      <c r="G79" s="415"/>
      <c r="H79" s="622"/>
      <c r="I79" s="622"/>
      <c r="J79" s="623"/>
      <c r="K79" s="623"/>
    </row>
    <row r="80" spans="2:13">
      <c r="C80" s="337"/>
      <c r="E80" s="415"/>
      <c r="F80" s="415"/>
      <c r="G80" s="415"/>
      <c r="H80" s="416"/>
      <c r="I80" s="612" t="s">
        <v>1631</v>
      </c>
      <c r="J80" s="612"/>
      <c r="K80" s="612"/>
    </row>
    <row r="81" spans="3:11">
      <c r="C81" s="337"/>
      <c r="E81" s="415"/>
      <c r="F81" s="415"/>
      <c r="G81" s="415"/>
      <c r="H81" s="416"/>
      <c r="I81" s="612" t="s">
        <v>1632</v>
      </c>
      <c r="J81" s="612"/>
      <c r="K81" s="612"/>
    </row>
    <row r="82" spans="3:11">
      <c r="C82" s="337"/>
      <c r="E82" s="415"/>
      <c r="F82" s="415"/>
      <c r="G82" s="415"/>
      <c r="H82" s="417"/>
      <c r="I82" s="418"/>
      <c r="J82" s="418"/>
      <c r="K82" s="418"/>
    </row>
    <row r="83" spans="3:11">
      <c r="C83" s="337"/>
      <c r="E83" s="415"/>
      <c r="F83" s="415"/>
      <c r="G83" s="415"/>
      <c r="H83" s="417"/>
      <c r="I83" s="417"/>
      <c r="J83" s="417"/>
      <c r="K83" s="417"/>
    </row>
    <row r="84" spans="3:11">
      <c r="C84" s="337"/>
      <c r="E84" s="415"/>
      <c r="F84" s="415"/>
      <c r="G84" s="415"/>
      <c r="H84" s="417"/>
      <c r="I84" s="417"/>
      <c r="J84" s="417"/>
      <c r="K84" s="417"/>
    </row>
    <row r="85" spans="3:11">
      <c r="C85" s="337"/>
      <c r="E85" s="415"/>
      <c r="F85" s="415"/>
      <c r="G85" s="415"/>
      <c r="H85" s="417"/>
      <c r="I85" s="417"/>
      <c r="J85" s="417"/>
      <c r="K85" s="417"/>
    </row>
    <row r="86" spans="3:11">
      <c r="C86" s="337"/>
      <c r="E86" s="415"/>
      <c r="F86" s="415"/>
      <c r="G86" s="415"/>
      <c r="H86" s="419"/>
      <c r="I86" s="612" t="s">
        <v>1633</v>
      </c>
      <c r="J86" s="612"/>
      <c r="K86" s="612"/>
    </row>
    <row r="87" spans="3:11">
      <c r="C87" s="413"/>
      <c r="E87" s="415"/>
      <c r="F87" s="415"/>
      <c r="G87" s="415"/>
      <c r="H87" s="417"/>
      <c r="I87" s="417"/>
      <c r="J87" s="417"/>
      <c r="K87" s="417"/>
    </row>
    <row r="88" spans="3:11">
      <c r="C88" s="413"/>
      <c r="E88" s="415"/>
      <c r="F88" s="415"/>
      <c r="G88" s="415"/>
      <c r="H88" s="417"/>
      <c r="I88" s="417"/>
      <c r="J88" s="417"/>
      <c r="K88" s="417"/>
    </row>
    <row r="89" spans="3:11">
      <c r="C89" s="413"/>
      <c r="E89" s="415"/>
      <c r="F89" s="415"/>
      <c r="G89" s="415"/>
      <c r="H89" s="417"/>
      <c r="I89" s="417"/>
      <c r="J89" s="417"/>
      <c r="K89" s="417"/>
    </row>
  </sheetData>
  <sheetProtection sort="0" autoFilter="0"/>
  <protectedRanges>
    <protectedRange sqref="B67 B63:B65" name="Range1_1"/>
    <protectedRange sqref="F14:F32 F38:F68" name="Range1_1_2_2"/>
    <protectedRange sqref="B66:C66 C63:C65 B47:C50" name="Range1_1_1"/>
    <protectedRange sqref="C54" name="Range1_1_2_2_1"/>
    <protectedRange sqref="C53" name="Range1_1_3"/>
    <protectedRange sqref="C55" name="Range1_1_3_11"/>
    <protectedRange sqref="C42" name="Range1_1_3_7"/>
    <protectedRange sqref="C67" name="Range1_1_3_12"/>
    <protectedRange sqref="C43" name="Range1_1_3_14"/>
    <protectedRange sqref="C52" name="Range1_1_3_1"/>
    <protectedRange sqref="C45:C46" name="Range1_1_3_2"/>
  </protectedRanges>
  <mergeCells count="22">
    <mergeCell ref="O3:P4"/>
    <mergeCell ref="B4:K4"/>
    <mergeCell ref="C72:F72"/>
    <mergeCell ref="B11:B13"/>
    <mergeCell ref="C11:C13"/>
    <mergeCell ref="D11:D13"/>
    <mergeCell ref="E11:E13"/>
    <mergeCell ref="F11:F13"/>
    <mergeCell ref="G11:G13"/>
    <mergeCell ref="I12:I13"/>
    <mergeCell ref="I81:K81"/>
    <mergeCell ref="I86:K86"/>
    <mergeCell ref="C74:F74"/>
    <mergeCell ref="G6:K6"/>
    <mergeCell ref="I80:K80"/>
    <mergeCell ref="C73:F73"/>
    <mergeCell ref="B75:K76"/>
    <mergeCell ref="H79:K79"/>
    <mergeCell ref="H11:K11"/>
    <mergeCell ref="H12:H13"/>
    <mergeCell ref="J12:J13"/>
    <mergeCell ref="K12:K13"/>
  </mergeCells>
  <phoneticPr fontId="136" type="noConversion"/>
  <conditionalFormatting sqref="E71:F71 E70:H70 O13 E1:E3 H12:I12 E77:E65536 G70:G74 G1:G13 E5:E13 G77:G65536 E69:G69 E32:K32 E19:E31 E51:E55 G51:K55 H69:K71 G19:K31 E50:K50 E57:E64 G57:K64 E14:K18 S14:V46 E56:K56 E65:K68 F40:F49 E33:E49 G33:K49">
    <cfRule type="cellIs" dxfId="13" priority="993" stopIfTrue="1" operator="equal">
      <formula>0</formula>
    </cfRule>
  </conditionalFormatting>
  <conditionalFormatting sqref="C15">
    <cfRule type="cellIs" dxfId="12" priority="413" operator="equal">
      <formula>0</formula>
    </cfRule>
  </conditionalFormatting>
  <conditionalFormatting sqref="E75:E76 G75:G76">
    <cfRule type="cellIs" dxfId="11" priority="127" stopIfTrue="1" operator="equal">
      <formula>0</formula>
    </cfRule>
  </conditionalFormatting>
  <conditionalFormatting sqref="F33:F39">
    <cfRule type="cellIs" dxfId="10" priority="25" stopIfTrue="1" operator="equal">
      <formula>0</formula>
    </cfRule>
  </conditionalFormatting>
  <conditionalFormatting sqref="C42">
    <cfRule type="cellIs" dxfId="9" priority="28" operator="equal">
      <formula>0</formula>
    </cfRule>
  </conditionalFormatting>
  <conditionalFormatting sqref="F19:F31">
    <cfRule type="cellIs" dxfId="8" priority="26" stopIfTrue="1" operator="equal">
      <formula>0</formula>
    </cfRule>
  </conditionalFormatting>
  <conditionalFormatting sqref="C67">
    <cfRule type="cellIs" dxfId="7" priority="11" operator="equal">
      <formula>0</formula>
    </cfRule>
  </conditionalFormatting>
  <conditionalFormatting sqref="C43">
    <cfRule type="cellIs" dxfId="6" priority="9" operator="equal">
      <formula>0</formula>
    </cfRule>
  </conditionalFormatting>
  <conditionalFormatting sqref="C52">
    <cfRule type="cellIs" dxfId="5" priority="6" operator="equal">
      <formula>0</formula>
    </cfRule>
  </conditionalFormatting>
  <conditionalFormatting sqref="F51:F55">
    <cfRule type="cellIs" dxfId="4" priority="5" stopIfTrue="1" operator="equal">
      <formula>0</formula>
    </cfRule>
  </conditionalFormatting>
  <conditionalFormatting sqref="C63">
    <cfRule type="cellIs" dxfId="3" priority="4" operator="equal">
      <formula>0</formula>
    </cfRule>
  </conditionalFormatting>
  <conditionalFormatting sqref="F57:F64">
    <cfRule type="cellIs" dxfId="2" priority="3" stopIfTrue="1" operator="equal">
      <formula>0</formula>
    </cfRule>
  </conditionalFormatting>
  <conditionalFormatting sqref="C44">
    <cfRule type="cellIs" dxfId="1" priority="2" operator="equal">
      <formula>0</formula>
    </cfRule>
  </conditionalFormatting>
  <conditionalFormatting sqref="C45:C46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9:F31 F33:F39 H14:K71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3" fitToHeight="30" orientation="portrait" horizontalDpi="1200" verticalDpi="1200" r:id="rId1"/>
  <colBreaks count="1" manualBreakCount="1">
    <brk id="11" max="1048575" man="1"/>
  </colBreaks>
  <ignoredErrors>
    <ignoredError sqref="L55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zoomScale="70" zoomScaleNormal="115" zoomScaleSheetLayoutView="70" workbookViewId="0">
      <selection activeCell="Y58" sqref="Y58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95" t="s">
        <v>1439</v>
      </c>
      <c r="X2" s="696"/>
      <c r="Y2" s="696"/>
      <c r="Z2" s="696"/>
      <c r="AA2" s="696"/>
      <c r="AB2" s="696"/>
      <c r="AC2" s="696"/>
      <c r="AD2" s="697"/>
    </row>
    <row r="3" spans="3:30">
      <c r="C3" s="238"/>
      <c r="W3" s="698"/>
      <c r="X3" s="699"/>
      <c r="Y3" s="699"/>
      <c r="Z3" s="699"/>
      <c r="AA3" s="699"/>
      <c r="AB3" s="699"/>
      <c r="AC3" s="699"/>
      <c r="AD3" s="700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44" t="s">
        <v>990</v>
      </c>
      <c r="Y5" s="644"/>
      <c r="Z5" s="644"/>
      <c r="AA5" s="644" t="s">
        <v>988</v>
      </c>
      <c r="AB5" s="644"/>
      <c r="AC5" s="644" t="s">
        <v>989</v>
      </c>
      <c r="AD5" s="645"/>
    </row>
    <row r="6" spans="3:30">
      <c r="C6" s="238"/>
      <c r="W6" s="241">
        <v>1</v>
      </c>
      <c r="X6" s="644" t="s">
        <v>993</v>
      </c>
      <c r="Y6" s="644"/>
      <c r="Z6" s="644"/>
      <c r="AA6" s="644"/>
      <c r="AB6" s="644"/>
      <c r="AC6" s="644"/>
      <c r="AD6" s="645"/>
    </row>
    <row r="7" spans="3:30">
      <c r="C7" s="238"/>
      <c r="E7" s="496" t="s">
        <v>1625</v>
      </c>
      <c r="W7" s="241">
        <v>2</v>
      </c>
      <c r="X7" s="644" t="s">
        <v>994</v>
      </c>
      <c r="Y7" s="644"/>
      <c r="Z7" s="644"/>
      <c r="AA7" s="644"/>
      <c r="AB7" s="644"/>
      <c r="AC7" s="644"/>
      <c r="AD7" s="645"/>
    </row>
    <row r="8" spans="3:30">
      <c r="C8" s="238"/>
      <c r="W8" s="241">
        <v>3</v>
      </c>
      <c r="X8" s="644" t="s">
        <v>995</v>
      </c>
      <c r="Y8" s="644"/>
      <c r="Z8" s="644"/>
      <c r="AA8" s="644"/>
      <c r="AB8" s="644"/>
      <c r="AC8" s="644"/>
      <c r="AD8" s="645"/>
    </row>
    <row r="9" spans="3:30">
      <c r="C9" s="238"/>
      <c r="W9" s="241">
        <v>4</v>
      </c>
      <c r="X9" s="644" t="s">
        <v>996</v>
      </c>
      <c r="Y9" s="644"/>
      <c r="Z9" s="644"/>
      <c r="AA9" s="644"/>
      <c r="AB9" s="644"/>
      <c r="AC9" s="644"/>
      <c r="AD9" s="645"/>
    </row>
    <row r="10" spans="3:30">
      <c r="C10" s="238"/>
      <c r="W10" s="241">
        <v>5</v>
      </c>
      <c r="X10" s="644" t="s">
        <v>997</v>
      </c>
      <c r="Y10" s="644"/>
      <c r="Z10" s="644"/>
      <c r="AA10" s="644"/>
      <c r="AB10" s="644"/>
      <c r="AC10" s="644"/>
      <c r="AD10" s="645"/>
    </row>
    <row r="11" spans="3:30">
      <c r="C11" s="238"/>
      <c r="W11" s="241">
        <v>6</v>
      </c>
      <c r="X11" s="644" t="s">
        <v>998</v>
      </c>
      <c r="Y11" s="644"/>
      <c r="Z11" s="644"/>
      <c r="AA11" s="644"/>
      <c r="AB11" s="644"/>
      <c r="AC11" s="644"/>
      <c r="AD11" s="645"/>
    </row>
    <row r="12" spans="3:30">
      <c r="C12" s="238"/>
      <c r="W12" s="241">
        <v>7</v>
      </c>
      <c r="X12" s="644" t="s">
        <v>999</v>
      </c>
      <c r="Y12" s="644"/>
      <c r="Z12" s="644"/>
      <c r="AA12" s="644"/>
      <c r="AB12" s="644"/>
      <c r="AC12" s="644"/>
      <c r="AD12" s="645"/>
    </row>
    <row r="13" spans="3:30" ht="12.75" customHeight="1">
      <c r="C13" s="238"/>
      <c r="W13" s="241">
        <v>8</v>
      </c>
      <c r="X13" s="644" t="s">
        <v>1000</v>
      </c>
      <c r="Y13" s="644"/>
      <c r="Z13" s="644"/>
      <c r="AA13" s="644"/>
      <c r="AB13" s="644"/>
      <c r="AC13" s="644"/>
      <c r="AD13" s="645"/>
    </row>
    <row r="14" spans="3:30">
      <c r="C14" s="238"/>
      <c r="W14" s="241">
        <v>9</v>
      </c>
      <c r="X14" s="644" t="s">
        <v>1001</v>
      </c>
      <c r="Y14" s="644"/>
      <c r="Z14" s="644"/>
      <c r="AA14" s="644"/>
      <c r="AB14" s="644"/>
      <c r="AC14" s="644"/>
      <c r="AD14" s="645"/>
    </row>
    <row r="15" spans="3:30">
      <c r="C15" s="238"/>
      <c r="W15" s="241">
        <v>10</v>
      </c>
      <c r="X15" s="644" t="s">
        <v>1010</v>
      </c>
      <c r="Y15" s="644"/>
      <c r="Z15" s="644"/>
      <c r="AA15" s="644"/>
      <c r="AB15" s="644"/>
      <c r="AC15" s="644"/>
      <c r="AD15" s="645"/>
    </row>
    <row r="16" spans="3:30">
      <c r="C16" s="238"/>
      <c r="W16" s="241">
        <v>11</v>
      </c>
      <c r="X16" s="644" t="s">
        <v>1458</v>
      </c>
      <c r="Y16" s="644"/>
      <c r="Z16" s="644"/>
      <c r="AA16" s="644"/>
      <c r="AB16" s="644"/>
      <c r="AC16" s="644"/>
      <c r="AD16" s="645"/>
    </row>
    <row r="17" spans="3:30">
      <c r="C17" s="238"/>
      <c r="S17" s="242"/>
      <c r="W17" s="241">
        <v>12</v>
      </c>
      <c r="X17" s="644" t="s">
        <v>1011</v>
      </c>
      <c r="Y17" s="644"/>
      <c r="Z17" s="644"/>
      <c r="AA17" s="644"/>
      <c r="AB17" s="644"/>
      <c r="AC17" s="644"/>
      <c r="AD17" s="645"/>
    </row>
    <row r="18" spans="3:30">
      <c r="C18" s="243"/>
      <c r="D18" s="244"/>
      <c r="E18" s="244"/>
      <c r="W18" s="241">
        <v>13</v>
      </c>
      <c r="X18" s="644"/>
      <c r="Y18" s="644"/>
      <c r="Z18" s="644"/>
      <c r="AA18" s="644"/>
      <c r="AB18" s="644"/>
      <c r="AC18" s="644"/>
      <c r="AD18" s="645"/>
    </row>
    <row r="19" spans="3:30">
      <c r="C19" s="238"/>
      <c r="W19" s="245"/>
      <c r="X19" s="693"/>
      <c r="Y19" s="693"/>
      <c r="Z19" s="693"/>
      <c r="AA19" s="693"/>
      <c r="AB19" s="693"/>
      <c r="AC19" s="693"/>
      <c r="AD19" s="694"/>
    </row>
    <row r="20" spans="3:30">
      <c r="C20" s="238"/>
      <c r="W20" s="680" t="s">
        <v>992</v>
      </c>
      <c r="X20" s="681"/>
      <c r="Y20" s="681"/>
      <c r="Z20" s="681"/>
      <c r="AA20" s="681"/>
      <c r="AB20" s="681"/>
      <c r="AC20" s="681"/>
      <c r="AD20" s="682"/>
    </row>
    <row r="21" spans="3:30">
      <c r="C21" s="238"/>
      <c r="W21" s="683" t="s">
        <v>985</v>
      </c>
      <c r="X21" s="684"/>
      <c r="Y21" s="684"/>
      <c r="Z21" s="685"/>
      <c r="AA21" s="686" t="s">
        <v>986</v>
      </c>
      <c r="AB21" s="687"/>
      <c r="AC21" s="687"/>
      <c r="AD21" s="688"/>
    </row>
    <row r="22" spans="3:30">
      <c r="C22" s="238"/>
      <c r="W22" s="689" t="s">
        <v>1618</v>
      </c>
      <c r="X22" s="690"/>
      <c r="Y22" s="499">
        <v>3</v>
      </c>
      <c r="Z22" s="508" t="s">
        <v>1058</v>
      </c>
      <c r="AA22" s="691"/>
      <c r="AB22" s="692"/>
      <c r="AC22" s="248"/>
      <c r="AD22" s="249"/>
    </row>
    <row r="23" spans="3:30">
      <c r="C23" s="238"/>
      <c r="W23" s="689" t="s">
        <v>1619</v>
      </c>
      <c r="X23" s="690"/>
      <c r="Y23" s="499">
        <v>4</v>
      </c>
      <c r="Z23" s="508" t="s">
        <v>1058</v>
      </c>
      <c r="AA23" s="678"/>
      <c r="AB23" s="679"/>
      <c r="AC23" s="248"/>
      <c r="AD23" s="249"/>
    </row>
    <row r="24" spans="3:30">
      <c r="C24" s="238"/>
      <c r="W24" s="673" t="s">
        <v>1620</v>
      </c>
      <c r="X24" s="675"/>
      <c r="Y24" s="246">
        <v>1</v>
      </c>
      <c r="Z24" s="247" t="s">
        <v>1058</v>
      </c>
      <c r="AA24" s="676"/>
      <c r="AB24" s="677"/>
      <c r="AC24" s="248"/>
      <c r="AD24" s="249"/>
    </row>
    <row r="25" spans="3:30">
      <c r="C25" s="238"/>
      <c r="W25" s="673"/>
      <c r="X25" s="675"/>
      <c r="Y25" s="246"/>
      <c r="Z25" s="247"/>
      <c r="AA25" s="678"/>
      <c r="AB25" s="679"/>
      <c r="AC25" s="248"/>
      <c r="AD25" s="249"/>
    </row>
    <row r="26" spans="3:30">
      <c r="C26" s="238"/>
      <c r="W26" s="486"/>
      <c r="X26" s="487"/>
      <c r="Y26" s="246"/>
      <c r="Z26" s="247"/>
      <c r="AA26" s="678"/>
      <c r="AB26" s="679"/>
      <c r="AC26" s="248"/>
      <c r="AD26" s="249"/>
    </row>
    <row r="27" spans="3:30">
      <c r="C27" s="238"/>
      <c r="W27" s="486"/>
      <c r="X27" s="487"/>
      <c r="Y27" s="246"/>
      <c r="Z27" s="247"/>
      <c r="AA27" s="672"/>
      <c r="AB27" s="667"/>
      <c r="AC27" s="248"/>
      <c r="AD27" s="249"/>
    </row>
    <row r="28" spans="3:30">
      <c r="C28" s="238"/>
      <c r="W28" s="486"/>
      <c r="X28" s="487"/>
      <c r="Y28" s="246"/>
      <c r="Z28" s="247"/>
      <c r="AA28" s="672"/>
      <c r="AB28" s="667"/>
      <c r="AC28" s="248"/>
      <c r="AD28" s="249"/>
    </row>
    <row r="29" spans="3:30">
      <c r="C29" s="238"/>
      <c r="W29" s="486"/>
      <c r="X29" s="487"/>
      <c r="Y29" s="246"/>
      <c r="Z29" s="247"/>
      <c r="AA29" s="672"/>
      <c r="AB29" s="667"/>
      <c r="AC29" s="248"/>
      <c r="AD29" s="249"/>
    </row>
    <row r="30" spans="3:30" ht="11.25" customHeight="1">
      <c r="C30" s="238"/>
      <c r="W30" s="488"/>
      <c r="X30" s="489"/>
      <c r="Y30" s="246"/>
      <c r="Z30" s="247"/>
      <c r="AA30" s="672"/>
      <c r="AB30" s="667"/>
      <c r="AC30" s="248"/>
      <c r="AD30" s="249"/>
    </row>
    <row r="31" spans="3:30">
      <c r="C31" s="238"/>
      <c r="U31" s="250"/>
      <c r="W31" s="486"/>
      <c r="X31" s="487"/>
      <c r="Y31" s="246"/>
      <c r="Z31" s="247"/>
      <c r="AA31" s="672"/>
      <c r="AB31" s="667"/>
      <c r="AC31" s="248"/>
      <c r="AD31" s="249"/>
    </row>
    <row r="32" spans="3:30">
      <c r="C32" s="238"/>
      <c r="U32" s="250"/>
      <c r="W32" s="486"/>
      <c r="X32" s="487"/>
      <c r="Y32" s="246"/>
      <c r="Z32" s="247"/>
      <c r="AA32" s="672"/>
      <c r="AB32" s="667"/>
      <c r="AC32" s="248"/>
      <c r="AD32" s="249"/>
    </row>
    <row r="33" spans="3:30">
      <c r="C33" s="238"/>
      <c r="W33" s="486"/>
      <c r="X33" s="487"/>
      <c r="Y33" s="246"/>
      <c r="Z33" s="247"/>
      <c r="AA33" s="672"/>
      <c r="AB33" s="667"/>
      <c r="AC33" s="248"/>
      <c r="AD33" s="249"/>
    </row>
    <row r="34" spans="3:30">
      <c r="C34" s="238"/>
      <c r="W34" s="486"/>
      <c r="X34" s="487"/>
      <c r="Y34" s="246"/>
      <c r="Z34" s="247"/>
      <c r="AA34" s="672"/>
      <c r="AB34" s="667"/>
      <c r="AC34" s="248"/>
      <c r="AD34" s="249"/>
    </row>
    <row r="35" spans="3:30">
      <c r="C35" s="238"/>
      <c r="W35" s="673"/>
      <c r="X35" s="674"/>
      <c r="Y35" s="246"/>
      <c r="Z35" s="247"/>
      <c r="AA35" s="672"/>
      <c r="AB35" s="667"/>
      <c r="AC35" s="248"/>
      <c r="AD35" s="249"/>
    </row>
    <row r="36" spans="3:30">
      <c r="C36" s="238"/>
      <c r="W36" s="664"/>
      <c r="X36" s="665"/>
      <c r="Y36" s="246"/>
      <c r="Z36" s="251"/>
      <c r="AA36" s="666"/>
      <c r="AB36" s="667"/>
      <c r="AC36" s="248"/>
      <c r="AD36" s="249"/>
    </row>
    <row r="37" spans="3:30" ht="12.75" customHeight="1">
      <c r="C37" s="238"/>
      <c r="W37" s="668"/>
      <c r="X37" s="669"/>
      <c r="Y37" s="246"/>
      <c r="Z37" s="251"/>
      <c r="AA37" s="670"/>
      <c r="AB37" s="671"/>
      <c r="AC37" s="252"/>
      <c r="AD37" s="253"/>
    </row>
    <row r="38" spans="3:30" ht="12.75" customHeight="1">
      <c r="C38" s="238"/>
      <c r="W38" s="668"/>
      <c r="X38" s="669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68"/>
      <c r="X39" s="669"/>
      <c r="Y39" s="254"/>
      <c r="Z39" s="257"/>
      <c r="AA39" s="660"/>
      <c r="AB39" s="661"/>
      <c r="AC39" s="252"/>
      <c r="AD39" s="253"/>
    </row>
    <row r="40" spans="3:30" ht="12" customHeight="1">
      <c r="C40" s="238"/>
      <c r="W40" s="656"/>
      <c r="X40" s="657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58"/>
      <c r="X41" s="659"/>
      <c r="Y41" s="260"/>
      <c r="Z41" s="261"/>
      <c r="AA41" s="660"/>
      <c r="AB41" s="661"/>
      <c r="AC41" s="252"/>
      <c r="AD41" s="253"/>
    </row>
    <row r="42" spans="3:30" ht="12" customHeight="1">
      <c r="C42" s="238"/>
      <c r="W42" s="662" t="s">
        <v>1459</v>
      </c>
      <c r="X42" s="663"/>
      <c r="Y42" s="663"/>
      <c r="Z42" s="663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41" t="s">
        <v>11</v>
      </c>
      <c r="X44" s="642"/>
      <c r="Y44" s="644"/>
      <c r="Z44" s="644"/>
      <c r="AA44" s="644"/>
      <c r="AB44" s="644"/>
      <c r="AC44" s="644"/>
      <c r="AD44" s="645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41" t="s">
        <v>984</v>
      </c>
      <c r="X45" s="642"/>
      <c r="Y45" s="644">
        <v>1</v>
      </c>
      <c r="Z45" s="644"/>
      <c r="AA45" s="644"/>
      <c r="AB45" s="644" t="s">
        <v>12</v>
      </c>
      <c r="AC45" s="644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41" t="s">
        <v>15</v>
      </c>
      <c r="X46" s="642"/>
      <c r="Y46" s="655"/>
      <c r="Z46" s="655"/>
      <c r="AA46" s="655"/>
      <c r="AB46" s="644" t="s">
        <v>16</v>
      </c>
      <c r="AC46" s="644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49" t="s">
        <v>17</v>
      </c>
      <c r="X47" s="649"/>
      <c r="Y47" s="649"/>
      <c r="Z47" s="649"/>
      <c r="AA47" s="649"/>
      <c r="AB47" s="649"/>
      <c r="AC47" s="649"/>
      <c r="AD47" s="650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51" t="str">
        <f>RAB!G6</f>
        <v>DPU-POMPA AIR LOIRENG</v>
      </c>
      <c r="X48" s="651"/>
      <c r="Y48" s="651"/>
      <c r="Z48" s="651"/>
      <c r="AA48" s="651"/>
      <c r="AB48" s="651"/>
      <c r="AC48" s="651"/>
      <c r="AD48" s="652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51"/>
      <c r="X49" s="651"/>
      <c r="Y49" s="651"/>
      <c r="Z49" s="651"/>
      <c r="AA49" s="651"/>
      <c r="AB49" s="651"/>
      <c r="AC49" s="651"/>
      <c r="AD49" s="652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51"/>
      <c r="X50" s="651"/>
      <c r="Y50" s="651"/>
      <c r="Z50" s="651"/>
      <c r="AA50" s="651"/>
      <c r="AB50" s="651"/>
      <c r="AC50" s="651"/>
      <c r="AD50" s="652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53"/>
      <c r="X51" s="653"/>
      <c r="Y51" s="653"/>
      <c r="Z51" s="653"/>
      <c r="AA51" s="653"/>
      <c r="AB51" s="653"/>
      <c r="AC51" s="653"/>
      <c r="AD51" s="654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41" t="s">
        <v>18</v>
      </c>
      <c r="X52" s="642"/>
      <c r="Y52" s="644" t="s">
        <v>1613</v>
      </c>
      <c r="Z52" s="644"/>
      <c r="AA52" s="644"/>
      <c r="AB52" s="644"/>
      <c r="AC52" s="644"/>
      <c r="AD52" s="645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41" t="s">
        <v>19</v>
      </c>
      <c r="X53" s="642"/>
      <c r="Y53" s="644" t="s">
        <v>1614</v>
      </c>
      <c r="Z53" s="644"/>
      <c r="AA53" s="644"/>
      <c r="AB53" s="644"/>
      <c r="AC53" s="644"/>
      <c r="AD53" s="645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41" t="s">
        <v>20</v>
      </c>
      <c r="X54" s="642"/>
      <c r="Y54" s="643" t="s">
        <v>1615</v>
      </c>
      <c r="Z54" s="643"/>
      <c r="AA54" s="643"/>
      <c r="AB54" s="644"/>
      <c r="AC54" s="644"/>
      <c r="AD54" s="645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46" t="s">
        <v>21</v>
      </c>
      <c r="X55" s="647"/>
      <c r="Y55" s="643" t="s">
        <v>1552</v>
      </c>
      <c r="Z55" s="643"/>
      <c r="AA55" s="643"/>
      <c r="AB55" s="643"/>
      <c r="AC55" s="643"/>
      <c r="AD55" s="648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topLeftCell="A25" zoomScale="55" zoomScaleNormal="55" zoomScaleSheetLayoutView="55" workbookViewId="0">
      <selection activeCell="V21" sqref="V21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1" t="s">
        <v>1531</v>
      </c>
      <c r="E4" s="702"/>
      <c r="F4" s="702"/>
      <c r="G4" s="702"/>
      <c r="H4" s="702"/>
      <c r="I4" s="702"/>
      <c r="J4" s="702"/>
      <c r="K4" s="702"/>
      <c r="L4" s="702"/>
      <c r="M4" s="702"/>
      <c r="N4" s="702"/>
      <c r="O4" s="702"/>
      <c r="P4" s="702"/>
      <c r="Q4" s="702"/>
      <c r="R4" s="702"/>
      <c r="S4" s="702"/>
      <c r="T4" s="702"/>
      <c r="U4" s="702"/>
      <c r="V4" s="702"/>
      <c r="W4" s="702"/>
      <c r="X4" s="702"/>
      <c r="Y4" s="702"/>
      <c r="Z4" s="702"/>
      <c r="AA4" s="702"/>
      <c r="AB4" s="702"/>
      <c r="AC4" s="703"/>
      <c r="AD4" s="217"/>
      <c r="AE4" s="216"/>
      <c r="AF4" s="216"/>
    </row>
    <row r="5" spans="2:32" ht="13.5" customHeight="1">
      <c r="B5" s="215"/>
      <c r="C5" s="215"/>
      <c r="D5" s="704"/>
      <c r="E5" s="705"/>
      <c r="F5" s="705"/>
      <c r="G5" s="705"/>
      <c r="H5" s="705"/>
      <c r="I5" s="705"/>
      <c r="J5" s="705"/>
      <c r="K5" s="705"/>
      <c r="L5" s="705"/>
      <c r="M5" s="705"/>
      <c r="N5" s="705"/>
      <c r="O5" s="705"/>
      <c r="P5" s="705"/>
      <c r="Q5" s="705"/>
      <c r="R5" s="705"/>
      <c r="S5" s="705"/>
      <c r="T5" s="705"/>
      <c r="U5" s="705"/>
      <c r="V5" s="705"/>
      <c r="W5" s="705"/>
      <c r="X5" s="705"/>
      <c r="Y5" s="705"/>
      <c r="Z5" s="705"/>
      <c r="AA5" s="705"/>
      <c r="AB5" s="705"/>
      <c r="AC5" s="706"/>
      <c r="AD5" s="217"/>
      <c r="AE5" s="216"/>
      <c r="AF5" s="216"/>
    </row>
    <row r="6" spans="2:32" ht="12.75" customHeight="1">
      <c r="B6" s="215"/>
      <c r="C6" s="215"/>
      <c r="D6" s="704"/>
      <c r="E6" s="705"/>
      <c r="F6" s="705"/>
      <c r="G6" s="705"/>
      <c r="H6" s="705"/>
      <c r="I6" s="705"/>
      <c r="J6" s="705"/>
      <c r="K6" s="705"/>
      <c r="L6" s="705"/>
      <c r="M6" s="705"/>
      <c r="N6" s="705"/>
      <c r="O6" s="705"/>
      <c r="P6" s="705"/>
      <c r="Q6" s="705"/>
      <c r="R6" s="705"/>
      <c r="S6" s="705"/>
      <c r="T6" s="705"/>
      <c r="U6" s="705"/>
      <c r="V6" s="705"/>
      <c r="W6" s="705"/>
      <c r="X6" s="705"/>
      <c r="Y6" s="705"/>
      <c r="Z6" s="705"/>
      <c r="AA6" s="705"/>
      <c r="AB6" s="705"/>
      <c r="AC6" s="706"/>
      <c r="AE6" s="216"/>
      <c r="AF6" s="216"/>
    </row>
    <row r="7" spans="2:32" ht="12.75" customHeight="1" thickBot="1">
      <c r="B7" s="215"/>
      <c r="C7" s="215"/>
      <c r="D7" s="707"/>
      <c r="E7" s="708"/>
      <c r="F7" s="708"/>
      <c r="G7" s="708"/>
      <c r="H7" s="708"/>
      <c r="I7" s="708"/>
      <c r="J7" s="708"/>
      <c r="K7" s="708"/>
      <c r="L7" s="708"/>
      <c r="M7" s="708"/>
      <c r="N7" s="708"/>
      <c r="O7" s="708"/>
      <c r="P7" s="708"/>
      <c r="Q7" s="708"/>
      <c r="R7" s="708"/>
      <c r="S7" s="708"/>
      <c r="T7" s="708"/>
      <c r="U7" s="708"/>
      <c r="V7" s="708"/>
      <c r="W7" s="708"/>
      <c r="X7" s="708"/>
      <c r="Y7" s="708"/>
      <c r="Z7" s="708"/>
      <c r="AA7" s="708"/>
      <c r="AB7" s="708"/>
      <c r="AC7" s="709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513" t="s">
        <v>1626</v>
      </c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hyperlinks>
    <hyperlink ref="E9" r:id="rId1" xr:uid="{11565CDF-BD6E-468C-92FA-C9A19F9453F6}"/>
  </hyperlinks>
  <pageMargins left="0.7" right="0.7" top="0.75" bottom="0.75" header="0.3" footer="0.3"/>
  <pageSetup paperSize="9" scale="54" orientation="landscape" horizontalDpi="1200" verticalDpi="1200" r:id="rId2"/>
  <colBreaks count="1" manualBreakCount="1">
    <brk id="32" max="1048575" man="1"/>
  </colBreaks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40" zoomScaleNormal="40" zoomScaleSheetLayoutView="40" workbookViewId="0">
      <selection activeCell="M42" sqref="M42"/>
    </sheetView>
  </sheetViews>
  <sheetFormatPr defaultColWidth="9.140625" defaultRowHeight="12.75"/>
  <cols>
    <col min="1" max="1" width="1.7109375" style="430" customWidth="1"/>
    <col min="2" max="2" width="10.7109375" style="430" customWidth="1"/>
    <col min="3" max="3" width="2.5703125" style="430" customWidth="1"/>
    <col min="4" max="20" width="9.140625" style="430"/>
    <col min="21" max="21" width="14.5703125" style="430" customWidth="1"/>
    <col min="22" max="22" width="3.140625" style="430" customWidth="1"/>
    <col min="23" max="26" width="9.140625" style="430"/>
    <col min="27" max="27" width="2.85546875" style="430" customWidth="1"/>
    <col min="28" max="30" width="4.7109375" style="430" customWidth="1"/>
    <col min="31" max="31" width="1.7109375" style="430" customWidth="1"/>
    <col min="32" max="16384" width="9.140625" style="430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5" t="s">
        <v>1530</v>
      </c>
      <c r="D3" s="705"/>
      <c r="E3" s="705"/>
      <c r="F3" s="705"/>
      <c r="G3" s="705"/>
      <c r="H3" s="705"/>
      <c r="I3" s="705"/>
      <c r="J3" s="705"/>
      <c r="K3" s="705"/>
      <c r="L3" s="705"/>
      <c r="M3" s="705"/>
      <c r="N3" s="705"/>
      <c r="O3" s="705"/>
      <c r="P3" s="705"/>
      <c r="Q3" s="705"/>
      <c r="R3" s="705"/>
      <c r="S3" s="705"/>
      <c r="T3" s="705"/>
      <c r="U3" s="705"/>
      <c r="V3" s="705"/>
      <c r="W3" s="182"/>
      <c r="X3" s="441"/>
      <c r="Y3" s="441"/>
      <c r="Z3" s="441"/>
      <c r="AA3" s="441"/>
      <c r="AB3" s="441"/>
      <c r="AC3" s="431"/>
    </row>
    <row r="4" spans="1:29" ht="18.75" customHeight="1">
      <c r="A4" s="181"/>
      <c r="C4" s="705"/>
      <c r="D4" s="705"/>
      <c r="E4" s="705"/>
      <c r="F4" s="705"/>
      <c r="G4" s="705"/>
      <c r="H4" s="705"/>
      <c r="I4" s="705"/>
      <c r="J4" s="705"/>
      <c r="K4" s="705"/>
      <c r="L4" s="705"/>
      <c r="M4" s="705"/>
      <c r="N4" s="705"/>
      <c r="O4" s="705"/>
      <c r="P4" s="705"/>
      <c r="Q4" s="705"/>
      <c r="R4" s="705"/>
      <c r="S4" s="705"/>
      <c r="T4" s="705"/>
      <c r="U4" s="705"/>
      <c r="V4" s="705"/>
      <c r="W4" s="182"/>
      <c r="X4" s="441"/>
      <c r="Y4" s="441"/>
      <c r="Z4" s="441"/>
      <c r="AA4" s="441"/>
      <c r="AB4" s="441"/>
      <c r="AC4" s="431"/>
    </row>
    <row r="5" spans="1:29" ht="12.75" customHeight="1">
      <c r="A5" s="181"/>
      <c r="C5" s="432"/>
      <c r="W5" s="182"/>
    </row>
    <row r="6" spans="1:29" ht="12.75" customHeight="1">
      <c r="A6" s="181"/>
      <c r="C6" s="710"/>
      <c r="D6" s="710"/>
      <c r="E6" s="710"/>
      <c r="F6" s="710"/>
      <c r="G6" s="710"/>
      <c r="H6" s="710"/>
      <c r="I6" s="710"/>
      <c r="J6" s="710"/>
      <c r="K6" s="710"/>
      <c r="L6" s="710"/>
      <c r="M6" s="710"/>
      <c r="W6" s="182"/>
      <c r="Y6" s="433"/>
      <c r="Z6" s="433"/>
      <c r="AA6" s="433"/>
      <c r="AB6" s="434"/>
      <c r="AC6" s="434"/>
    </row>
    <row r="7" spans="1:29" ht="18" customHeight="1">
      <c r="A7" s="181"/>
      <c r="C7" s="710"/>
      <c r="D7" s="710"/>
      <c r="E7" s="710"/>
      <c r="F7" s="710"/>
      <c r="G7" s="710"/>
      <c r="H7" s="710"/>
      <c r="I7" s="710"/>
      <c r="J7" s="710"/>
      <c r="K7" s="710"/>
      <c r="L7" s="710"/>
      <c r="M7" s="710"/>
      <c r="W7" s="182"/>
      <c r="Y7" s="433"/>
      <c r="Z7" s="433"/>
      <c r="AA7" s="433"/>
      <c r="AB7" s="434"/>
      <c r="AC7" s="434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5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6"/>
      <c r="S54" s="436"/>
      <c r="T54" s="436"/>
      <c r="U54" s="437"/>
      <c r="V54" s="437"/>
      <c r="W54" s="183"/>
      <c r="X54" s="437"/>
      <c r="Y54" s="437"/>
      <c r="Z54" s="437"/>
      <c r="AA54" s="437"/>
      <c r="AB54" s="437"/>
      <c r="AC54" s="437"/>
      <c r="AD54" s="437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42"/>
      <c r="S55" s="443"/>
      <c r="T55" s="443"/>
      <c r="U55" s="186"/>
      <c r="V55" s="187"/>
      <c r="W55" s="188"/>
      <c r="X55" s="437"/>
      <c r="Y55" s="437"/>
      <c r="Z55" s="437"/>
      <c r="AA55" s="438"/>
      <c r="AB55" s="438"/>
      <c r="AC55" s="438"/>
      <c r="AD55" s="438"/>
    </row>
    <row r="56" spans="1:30">
      <c r="U56" s="437"/>
      <c r="V56" s="438"/>
      <c r="W56" s="437"/>
      <c r="X56" s="437"/>
      <c r="Y56" s="437"/>
      <c r="Z56" s="437"/>
      <c r="AA56" s="438"/>
      <c r="AB56" s="437"/>
      <c r="AC56" s="437"/>
      <c r="AD56" s="437"/>
    </row>
    <row r="57" spans="1:30">
      <c r="U57" s="437"/>
      <c r="V57" s="438"/>
      <c r="W57" s="437"/>
      <c r="X57" s="437"/>
      <c r="Y57" s="437"/>
      <c r="Z57" s="437"/>
      <c r="AA57" s="437"/>
      <c r="AB57" s="437"/>
      <c r="AC57" s="437"/>
      <c r="AD57" s="437"/>
    </row>
    <row r="58" spans="1:30">
      <c r="U58" s="437"/>
      <c r="V58" s="438"/>
      <c r="W58" s="437"/>
      <c r="X58" s="437"/>
      <c r="Y58" s="437"/>
      <c r="Z58" s="437"/>
      <c r="AA58" s="437"/>
      <c r="AB58" s="437"/>
      <c r="AC58" s="437"/>
      <c r="AD58" s="437"/>
    </row>
    <row r="59" spans="1:30">
      <c r="U59" s="437"/>
      <c r="V59" s="438"/>
      <c r="W59" s="437"/>
      <c r="X59" s="437"/>
      <c r="Y59" s="437"/>
      <c r="Z59" s="437"/>
      <c r="AA59" s="437"/>
      <c r="AB59" s="437"/>
      <c r="AC59" s="437"/>
      <c r="AD59" s="437"/>
    </row>
    <row r="60" spans="1:30">
      <c r="U60" s="437"/>
      <c r="V60" s="438"/>
      <c r="W60" s="437"/>
      <c r="X60" s="437"/>
      <c r="Y60" s="437"/>
      <c r="Z60" s="437"/>
      <c r="AA60" s="438"/>
      <c r="AB60" s="437"/>
      <c r="AC60" s="437"/>
      <c r="AD60" s="437"/>
    </row>
    <row r="61" spans="1:30">
      <c r="U61" s="437"/>
      <c r="V61" s="438"/>
      <c r="W61" s="437"/>
      <c r="X61" s="437"/>
      <c r="Y61" s="437"/>
      <c r="Z61" s="437"/>
      <c r="AA61" s="437"/>
      <c r="AB61" s="437"/>
      <c r="AC61" s="437"/>
      <c r="AD61" s="437"/>
    </row>
    <row r="62" spans="1:30">
      <c r="U62" s="437"/>
      <c r="V62" s="438"/>
      <c r="W62" s="437"/>
      <c r="X62" s="437"/>
      <c r="Y62" s="437"/>
      <c r="Z62" s="437"/>
      <c r="AA62" s="437"/>
      <c r="AB62" s="437"/>
      <c r="AC62" s="437"/>
      <c r="AD62" s="437"/>
    </row>
    <row r="63" spans="1:30">
      <c r="U63" s="437"/>
      <c r="V63" s="438"/>
      <c r="W63" s="437"/>
      <c r="X63" s="437"/>
      <c r="Y63" s="437"/>
      <c r="Z63" s="437"/>
      <c r="AA63" s="437"/>
      <c r="AB63" s="437"/>
      <c r="AC63" s="437"/>
      <c r="AD63" s="437"/>
    </row>
    <row r="64" spans="1:30">
      <c r="U64" s="437"/>
      <c r="V64" s="438"/>
      <c r="W64" s="437"/>
      <c r="X64" s="437"/>
      <c r="Y64" s="437"/>
      <c r="Z64" s="437"/>
      <c r="AA64" s="437"/>
      <c r="AB64" s="437"/>
      <c r="AC64" s="437"/>
      <c r="AD64" s="437"/>
    </row>
    <row r="65" spans="5:30">
      <c r="U65" s="437"/>
      <c r="V65" s="438"/>
      <c r="W65" s="437"/>
      <c r="X65" s="437"/>
      <c r="Y65" s="437"/>
      <c r="Z65" s="437"/>
      <c r="AA65" s="437"/>
      <c r="AB65" s="437"/>
      <c r="AC65" s="437"/>
      <c r="AD65" s="437"/>
    </row>
    <row r="66" spans="5:30" ht="6" customHeight="1"/>
    <row r="73" spans="5:30">
      <c r="M73" s="439"/>
    </row>
    <row r="74" spans="5:30" ht="15" customHeight="1">
      <c r="E74" s="440"/>
      <c r="M74" s="439"/>
    </row>
    <row r="75" spans="5:30" ht="15" customHeight="1">
      <c r="E75" s="440"/>
      <c r="M75" s="439"/>
    </row>
    <row r="76" spans="5:30" ht="15" customHeight="1">
      <c r="E76" s="440"/>
      <c r="M76" s="439"/>
    </row>
    <row r="77" spans="5:30" ht="15" customHeight="1">
      <c r="E77" s="440"/>
      <c r="M77" s="439"/>
    </row>
    <row r="78" spans="5:30" ht="15" customHeight="1">
      <c r="E78" s="440"/>
      <c r="M78" s="439"/>
    </row>
    <row r="79" spans="5:30" ht="15" customHeight="1">
      <c r="E79" s="440"/>
      <c r="M79" s="439"/>
    </row>
    <row r="80" spans="5:30" ht="15" customHeight="1">
      <c r="E80" s="440"/>
      <c r="M80" s="439"/>
    </row>
    <row r="81" spans="5:13" ht="15" customHeight="1">
      <c r="E81" s="440"/>
      <c r="M81" s="439"/>
    </row>
    <row r="82" spans="5:13" ht="15" customHeight="1">
      <c r="E82" s="440"/>
      <c r="M82" s="439"/>
    </row>
    <row r="83" spans="5:13" ht="15" customHeight="1">
      <c r="E83" s="440"/>
      <c r="M83" s="439"/>
    </row>
    <row r="84" spans="5:13" ht="15" customHeight="1">
      <c r="E84" s="440"/>
      <c r="M84" s="439"/>
    </row>
    <row r="85" spans="5:13" ht="15" customHeight="1">
      <c r="E85" s="440"/>
      <c r="M85" s="439"/>
    </row>
    <row r="86" spans="5:13" ht="15" customHeight="1">
      <c r="E86" s="440"/>
      <c r="M86" s="439"/>
    </row>
    <row r="87" spans="5:13" ht="15" customHeight="1">
      <c r="E87" s="440"/>
      <c r="M87" s="439"/>
    </row>
    <row r="88" spans="5:13" ht="15" customHeight="1">
      <c r="E88" s="440"/>
      <c r="M88" s="439"/>
    </row>
    <row r="89" spans="5:13" ht="15" customHeight="1">
      <c r="E89" s="440"/>
      <c r="M89" s="439"/>
    </row>
    <row r="90" spans="5:13" ht="15" customHeight="1">
      <c r="E90" s="440"/>
      <c r="M90" s="439"/>
    </row>
    <row r="91" spans="5:13" ht="15" customHeight="1">
      <c r="E91" s="440"/>
      <c r="M91" s="439"/>
    </row>
    <row r="92" spans="5:13" ht="15" customHeight="1">
      <c r="E92" s="440"/>
      <c r="M92" s="439"/>
    </row>
    <row r="93" spans="5:13" ht="15" customHeight="1">
      <c r="E93" s="440"/>
      <c r="M93" s="439"/>
    </row>
    <row r="94" spans="5:13" ht="15" customHeight="1">
      <c r="E94" s="440"/>
      <c r="M94" s="439"/>
    </row>
    <row r="95" spans="5:13" ht="15" customHeight="1">
      <c r="E95" s="440"/>
      <c r="M95" s="439"/>
    </row>
    <row r="96" spans="5:13" ht="15" customHeight="1">
      <c r="E96" s="440"/>
    </row>
    <row r="97" spans="5:5" ht="15" customHeight="1">
      <c r="E97" s="440"/>
    </row>
    <row r="98" spans="5:5" ht="15" customHeight="1">
      <c r="E98" s="440"/>
    </row>
    <row r="99" spans="5:5" ht="15" customHeight="1">
      <c r="E99" s="440"/>
    </row>
    <row r="100" spans="5:5" ht="15" customHeight="1">
      <c r="E100" s="440"/>
    </row>
    <row r="101" spans="5:5" ht="15" customHeight="1">
      <c r="E101" s="440"/>
    </row>
    <row r="102" spans="5:5" ht="15" customHeight="1">
      <c r="E102" s="440"/>
    </row>
    <row r="103" spans="5:5" ht="15" customHeight="1">
      <c r="E103" s="440"/>
    </row>
    <row r="104" spans="5:5" ht="15" customHeight="1">
      <c r="E104" s="440"/>
    </row>
    <row r="105" spans="5:5" ht="15" customHeight="1">
      <c r="E105" s="440"/>
    </row>
    <row r="106" spans="5:5" ht="15" customHeight="1">
      <c r="E106" s="440"/>
    </row>
    <row r="107" spans="5:5" ht="15" customHeight="1">
      <c r="E107" s="440"/>
    </row>
    <row r="108" spans="5:5" ht="15" customHeight="1">
      <c r="E108" s="440"/>
    </row>
    <row r="109" spans="5:5" ht="15" customHeight="1">
      <c r="E109" s="440"/>
    </row>
    <row r="110" spans="5:5" ht="15" customHeight="1">
      <c r="E110" s="440"/>
    </row>
    <row r="111" spans="5:5" ht="15" customHeight="1">
      <c r="E111" s="440"/>
    </row>
    <row r="112" spans="5:5" ht="15" customHeight="1">
      <c r="E112" s="440"/>
    </row>
    <row r="113" spans="5:5" ht="15" customHeight="1">
      <c r="E113" s="440"/>
    </row>
    <row r="114" spans="5:5" ht="15" customHeight="1">
      <c r="E114" s="440"/>
    </row>
    <row r="115" spans="5:5" ht="15" customHeight="1">
      <c r="E115" s="440"/>
    </row>
    <row r="116" spans="5:5" ht="15" customHeight="1">
      <c r="E116" s="440"/>
    </row>
    <row r="117" spans="5:5" ht="15" customHeight="1">
      <c r="E117" s="440"/>
    </row>
    <row r="118" spans="5:5" ht="15" customHeight="1">
      <c r="E118" s="440"/>
    </row>
    <row r="119" spans="5:5" ht="15" customHeight="1">
      <c r="E119" s="440"/>
    </row>
    <row r="120" spans="5:5">
      <c r="E120" s="440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62">
        <v>1</v>
      </c>
    </row>
    <row r="2" spans="1:11" ht="48" customHeight="1">
      <c r="A2" s="462">
        <v>3</v>
      </c>
    </row>
    <row r="4" spans="1:11" ht="48" customHeight="1">
      <c r="C4" s="462">
        <v>1</v>
      </c>
    </row>
    <row r="5" spans="1:11" ht="48" customHeight="1">
      <c r="C5" s="462">
        <v>3</v>
      </c>
    </row>
    <row r="7" spans="1:11" ht="48" customHeight="1">
      <c r="E7" s="462">
        <v>1</v>
      </c>
    </row>
    <row r="8" spans="1:11" ht="48" customHeight="1">
      <c r="E8" s="462">
        <v>3</v>
      </c>
    </row>
    <row r="10" spans="1:11" ht="48" customHeight="1">
      <c r="G10" s="462">
        <v>3</v>
      </c>
    </row>
    <row r="11" spans="1:11" ht="48" customHeight="1">
      <c r="G11" s="462">
        <v>1</v>
      </c>
    </row>
    <row r="13" spans="1:11" ht="48" customHeight="1">
      <c r="I13" s="462">
        <v>3</v>
      </c>
    </row>
    <row r="14" spans="1:11" ht="48" customHeight="1">
      <c r="I14" s="462">
        <v>1</v>
      </c>
    </row>
    <row r="16" spans="1:11" ht="48" customHeight="1">
      <c r="K16" s="462">
        <v>3</v>
      </c>
    </row>
    <row r="17" spans="11:21" ht="48" customHeight="1">
      <c r="K17" s="462">
        <v>1</v>
      </c>
    </row>
    <row r="19" spans="11:21" ht="48" customHeight="1">
      <c r="M19" s="462">
        <v>3</v>
      </c>
    </row>
    <row r="20" spans="11:21" ht="48" customHeight="1">
      <c r="M20" s="462">
        <v>1</v>
      </c>
    </row>
    <row r="22" spans="11:21" ht="48" customHeight="1">
      <c r="O22" s="462">
        <v>3</v>
      </c>
    </row>
    <row r="23" spans="11:21" ht="48" customHeight="1">
      <c r="O23" s="462">
        <v>1</v>
      </c>
    </row>
    <row r="25" spans="11:21" ht="57" customHeight="1">
      <c r="Q25" s="462">
        <v>3</v>
      </c>
    </row>
    <row r="26" spans="11:21" ht="57" customHeight="1">
      <c r="Q26" s="462">
        <v>1</v>
      </c>
    </row>
    <row r="28" spans="11:21" ht="57" customHeight="1">
      <c r="S28" s="462">
        <v>3</v>
      </c>
    </row>
    <row r="29" spans="11:21" ht="57" customHeight="1">
      <c r="S29" s="462">
        <v>1</v>
      </c>
    </row>
    <row r="31" spans="11:21" ht="57" customHeight="1">
      <c r="U31" s="462">
        <v>3</v>
      </c>
    </row>
    <row r="32" spans="11:21" ht="57" customHeight="1">
      <c r="U32" s="462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2023-11-13T05:44:55Z</cp:lastPrinted>
  <dcterms:created xsi:type="dcterms:W3CDTF">2011-02-06T11:57:38Z</dcterms:created>
  <dcterms:modified xsi:type="dcterms:W3CDTF">2023-11-14T02:46:31Z</dcterms:modified>
</cp:coreProperties>
</file>