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ERA ISNAENI\"/>
    </mc:Choice>
  </mc:AlternateContent>
  <xr:revisionPtr revIDLastSave="0" documentId="13_ncr:1_{CBB9B387-7631-41A9-B73A-5DC828517F76}" xr6:coauthVersionLast="47" xr6:coauthVersionMax="47" xr10:uidLastSave="{00000000-0000-0000-0000-000000000000}"/>
  <bookViews>
    <workbookView xWindow="-120" yWindow="-120" windowWidth="24240" windowHeight="13140" tabRatio="859" firstSheet="1" activeTab="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RAB!$A$1:$K$122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60" l="1"/>
  <c r="F81" i="11"/>
  <c r="F80" i="11"/>
  <c r="F79" i="11"/>
  <c r="F78" i="11"/>
  <c r="F77" i="11"/>
  <c r="D76" i="11"/>
  <c r="J76" i="11" s="1"/>
  <c r="E76" i="11"/>
  <c r="G76" i="11"/>
  <c r="D77" i="11"/>
  <c r="J77" i="11" s="1"/>
  <c r="E77" i="11"/>
  <c r="G77" i="11"/>
  <c r="D78" i="11"/>
  <c r="H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E81" i="11"/>
  <c r="G81" i="11"/>
  <c r="D82" i="11"/>
  <c r="J82" i="11" s="1"/>
  <c r="E82" i="11"/>
  <c r="G82" i="11"/>
  <c r="D83" i="11"/>
  <c r="H83" i="11" s="1"/>
  <c r="E83" i="11"/>
  <c r="G83" i="11"/>
  <c r="F74" i="11"/>
  <c r="F73" i="11"/>
  <c r="F72" i="11"/>
  <c r="F71" i="11"/>
  <c r="F70" i="11"/>
  <c r="F69" i="11"/>
  <c r="F68" i="11"/>
  <c r="F67" i="11"/>
  <c r="F66" i="11"/>
  <c r="F63" i="11"/>
  <c r="F62" i="11"/>
  <c r="F61" i="11"/>
  <c r="F60" i="11"/>
  <c r="F59" i="11"/>
  <c r="F58" i="11"/>
  <c r="F57" i="11"/>
  <c r="F56" i="11"/>
  <c r="F55" i="11"/>
  <c r="F54" i="11"/>
  <c r="F52" i="11"/>
  <c r="D51" i="11"/>
  <c r="I51" i="11" s="1"/>
  <c r="D52" i="11"/>
  <c r="I52" i="11" s="1"/>
  <c r="D53" i="11"/>
  <c r="I53" i="11" s="1"/>
  <c r="D54" i="11"/>
  <c r="J54" i="11" s="1"/>
  <c r="D55" i="11"/>
  <c r="I55" i="11" s="1"/>
  <c r="D56" i="11"/>
  <c r="H56" i="11" s="1"/>
  <c r="D57" i="11"/>
  <c r="D58" i="11"/>
  <c r="H58" i="11" s="1"/>
  <c r="D59" i="11"/>
  <c r="J59" i="11" s="1"/>
  <c r="D60" i="11"/>
  <c r="J60" i="11" s="1"/>
  <c r="D61" i="11"/>
  <c r="H61" i="11" s="1"/>
  <c r="D62" i="11"/>
  <c r="J62" i="11" s="1"/>
  <c r="D63" i="11"/>
  <c r="I63" i="11" s="1"/>
  <c r="D50" i="11"/>
  <c r="J50" i="11" s="1"/>
  <c r="E50" i="11"/>
  <c r="G50" i="11"/>
  <c r="E51" i="11"/>
  <c r="G51" i="11"/>
  <c r="E52" i="11"/>
  <c r="G52" i="11"/>
  <c r="E53" i="11"/>
  <c r="G53" i="11"/>
  <c r="E54" i="11"/>
  <c r="G54" i="11"/>
  <c r="I54" i="11"/>
  <c r="E55" i="11"/>
  <c r="G55" i="11"/>
  <c r="E56" i="11"/>
  <c r="G56" i="11"/>
  <c r="J56" i="11"/>
  <c r="H57" i="11"/>
  <c r="E57" i="11"/>
  <c r="G57" i="11"/>
  <c r="E58" i="11"/>
  <c r="G58" i="11"/>
  <c r="E59" i="11"/>
  <c r="G59" i="11"/>
  <c r="E60" i="11"/>
  <c r="G60" i="11"/>
  <c r="E61" i="11"/>
  <c r="G61" i="11"/>
  <c r="E62" i="11"/>
  <c r="G62" i="11"/>
  <c r="E63" i="11"/>
  <c r="G63" i="11"/>
  <c r="D64" i="11"/>
  <c r="H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H69" i="11" s="1"/>
  <c r="E69" i="11"/>
  <c r="G69" i="11"/>
  <c r="D70" i="11"/>
  <c r="H70" i="11" s="1"/>
  <c r="E70" i="11"/>
  <c r="G70" i="11"/>
  <c r="D71" i="11"/>
  <c r="J71" i="11" s="1"/>
  <c r="E71" i="11"/>
  <c r="G71" i="11"/>
  <c r="D72" i="11"/>
  <c r="H72" i="11" s="1"/>
  <c r="E72" i="11"/>
  <c r="G72" i="11"/>
  <c r="D73" i="11"/>
  <c r="H73" i="11" s="1"/>
  <c r="E73" i="11"/>
  <c r="G73" i="11"/>
  <c r="D74" i="11"/>
  <c r="H74" i="11" s="1"/>
  <c r="E74" i="11"/>
  <c r="G74" i="11"/>
  <c r="D75" i="11"/>
  <c r="H75" i="11" s="1"/>
  <c r="E75" i="11"/>
  <c r="G75" i="11"/>
  <c r="H60" i="11" l="1"/>
  <c r="I50" i="11"/>
  <c r="I60" i="11"/>
  <c r="J52" i="11"/>
  <c r="H80" i="11"/>
  <c r="I79" i="11"/>
  <c r="J78" i="11"/>
  <c r="I80" i="11"/>
  <c r="H50" i="11"/>
  <c r="J81" i="11"/>
  <c r="I76" i="11"/>
  <c r="J83" i="11"/>
  <c r="I78" i="11"/>
  <c r="H76" i="11"/>
  <c r="I83" i="11"/>
  <c r="I82" i="11"/>
  <c r="I81" i="11"/>
  <c r="I77" i="11"/>
  <c r="I61" i="11"/>
  <c r="H82" i="11"/>
  <c r="H81" i="11"/>
  <c r="J79" i="11"/>
  <c r="H77" i="11"/>
  <c r="H53" i="11"/>
  <c r="H52" i="11"/>
  <c r="I57" i="11"/>
  <c r="I62" i="11"/>
  <c r="J73" i="11"/>
  <c r="I64" i="11"/>
  <c r="I56" i="11"/>
  <c r="K56" i="11" s="1"/>
  <c r="J51" i="11"/>
  <c r="J66" i="11"/>
  <c r="J63" i="11"/>
  <c r="I59" i="11"/>
  <c r="J55" i="11"/>
  <c r="J74" i="11"/>
  <c r="I74" i="11"/>
  <c r="I73" i="11"/>
  <c r="J72" i="11"/>
  <c r="I68" i="11"/>
  <c r="I66" i="11"/>
  <c r="I72" i="11"/>
  <c r="I71" i="11"/>
  <c r="J70" i="11"/>
  <c r="I70" i="11"/>
  <c r="H68" i="11"/>
  <c r="I67" i="11"/>
  <c r="J64" i="11"/>
  <c r="H62" i="11"/>
  <c r="J58" i="11"/>
  <c r="H54" i="11"/>
  <c r="K54" i="11" s="1"/>
  <c r="I58" i="11"/>
  <c r="I69" i="11"/>
  <c r="I65" i="11"/>
  <c r="J75" i="11"/>
  <c r="I75" i="11"/>
  <c r="J69" i="11"/>
  <c r="H67" i="11"/>
  <c r="J65" i="11"/>
  <c r="H63" i="11"/>
  <c r="J61" i="11"/>
  <c r="H59" i="11"/>
  <c r="J57" i="11"/>
  <c r="H55" i="11"/>
  <c r="J53" i="11"/>
  <c r="H51" i="11"/>
  <c r="H71" i="11"/>
  <c r="F90" i="11"/>
  <c r="F97" i="11" s="1"/>
  <c r="D90" i="11"/>
  <c r="J90" i="11" s="1"/>
  <c r="E90" i="11"/>
  <c r="G90" i="11"/>
  <c r="D91" i="11"/>
  <c r="J91" i="11" s="1"/>
  <c r="E91" i="11"/>
  <c r="G91" i="11"/>
  <c r="D92" i="11"/>
  <c r="J92" i="11" s="1"/>
  <c r="E92" i="11"/>
  <c r="G92" i="11"/>
  <c r="D93" i="11"/>
  <c r="H93" i="11" s="1"/>
  <c r="E93" i="11"/>
  <c r="G93" i="11"/>
  <c r="D94" i="11"/>
  <c r="J94" i="11" s="1"/>
  <c r="E94" i="11"/>
  <c r="G94" i="11"/>
  <c r="D95" i="11"/>
  <c r="J95" i="11" s="1"/>
  <c r="E95" i="11"/>
  <c r="G95" i="11"/>
  <c r="D96" i="11"/>
  <c r="H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J99" i="11" s="1"/>
  <c r="E99" i="11"/>
  <c r="G99" i="11"/>
  <c r="D100" i="11"/>
  <c r="H100" i="11" s="1"/>
  <c r="E100" i="11"/>
  <c r="G100" i="11"/>
  <c r="F41" i="11"/>
  <c r="F40" i="11"/>
  <c r="F39" i="11"/>
  <c r="F38" i="11"/>
  <c r="F37" i="11"/>
  <c r="K82" i="11" l="1"/>
  <c r="K60" i="11"/>
  <c r="K50" i="11"/>
  <c r="K76" i="11"/>
  <c r="K80" i="11"/>
  <c r="K52" i="11"/>
  <c r="K53" i="11"/>
  <c r="K72" i="11"/>
  <c r="K83" i="11"/>
  <c r="K78" i="11"/>
  <c r="K62" i="11"/>
  <c r="K79" i="11"/>
  <c r="K81" i="11"/>
  <c r="K61" i="11"/>
  <c r="K77" i="11"/>
  <c r="K64" i="11"/>
  <c r="K57" i="11"/>
  <c r="K65" i="11"/>
  <c r="K66" i="11"/>
  <c r="K73" i="11"/>
  <c r="K69" i="11"/>
  <c r="K74" i="11"/>
  <c r="K59" i="11"/>
  <c r="K55" i="11"/>
  <c r="K51" i="11"/>
  <c r="K71" i="11"/>
  <c r="K63" i="11"/>
  <c r="K58" i="11"/>
  <c r="K68" i="11"/>
  <c r="K67" i="11"/>
  <c r="K70" i="11"/>
  <c r="K75" i="11"/>
  <c r="F92" i="11"/>
  <c r="I92" i="11" s="1"/>
  <c r="F94" i="11"/>
  <c r="I94" i="11" s="1"/>
  <c r="J100" i="11"/>
  <c r="I90" i="11"/>
  <c r="F91" i="11"/>
  <c r="I91" i="11" s="1"/>
  <c r="F95" i="11"/>
  <c r="I95" i="11" s="1"/>
  <c r="F96" i="11"/>
  <c r="H94" i="11"/>
  <c r="J93" i="11"/>
  <c r="F93" i="11"/>
  <c r="I93" i="11" s="1"/>
  <c r="H97" i="11"/>
  <c r="J96" i="11"/>
  <c r="H90" i="11"/>
  <c r="I97" i="11"/>
  <c r="I98" i="11"/>
  <c r="I100" i="11"/>
  <c r="H98" i="11"/>
  <c r="I99" i="11"/>
  <c r="H99" i="11"/>
  <c r="I96" i="11"/>
  <c r="H91" i="11"/>
  <c r="H92" i="11"/>
  <c r="H95" i="11"/>
  <c r="D36" i="11"/>
  <c r="H36" i="11" s="1"/>
  <c r="E36" i="11"/>
  <c r="G36" i="11"/>
  <c r="D37" i="11"/>
  <c r="J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J40" i="11" s="1"/>
  <c r="E40" i="11"/>
  <c r="G40" i="11"/>
  <c r="D41" i="11"/>
  <c r="E41" i="11"/>
  <c r="G41" i="11"/>
  <c r="D42" i="11"/>
  <c r="J42" i="11" s="1"/>
  <c r="E42" i="11"/>
  <c r="G42" i="11"/>
  <c r="F45" i="11"/>
  <c r="K100" i="11" l="1"/>
  <c r="K90" i="11"/>
  <c r="K94" i="11"/>
  <c r="K98" i="11"/>
  <c r="K99" i="11"/>
  <c r="K92" i="11"/>
  <c r="K93" i="11"/>
  <c r="K91" i="11"/>
  <c r="K95" i="11"/>
  <c r="K96" i="11"/>
  <c r="K97" i="11"/>
  <c r="I39" i="11"/>
  <c r="J41" i="11"/>
  <c r="J39" i="11"/>
  <c r="J38" i="11"/>
  <c r="I40" i="11"/>
  <c r="I36" i="11"/>
  <c r="H42" i="11"/>
  <c r="H40" i="11"/>
  <c r="I38" i="11"/>
  <c r="I37" i="11"/>
  <c r="J36" i="11"/>
  <c r="I42" i="11"/>
  <c r="H41" i="11"/>
  <c r="H37" i="11"/>
  <c r="K37" i="11" s="1"/>
  <c r="I41" i="11"/>
  <c r="F88" i="11"/>
  <c r="F86" i="11"/>
  <c r="F85" i="11"/>
  <c r="G84" i="11"/>
  <c r="G85" i="11"/>
  <c r="G86" i="11"/>
  <c r="G87" i="11"/>
  <c r="G88" i="11"/>
  <c r="G89" i="11"/>
  <c r="D84" i="11"/>
  <c r="H84" i="11" s="1"/>
  <c r="E84" i="11"/>
  <c r="J85" i="11"/>
  <c r="E85" i="11"/>
  <c r="D86" i="11"/>
  <c r="I86" i="11" s="1"/>
  <c r="E86" i="11"/>
  <c r="E87" i="11"/>
  <c r="D88" i="11"/>
  <c r="H88" i="11" s="1"/>
  <c r="E88" i="11"/>
  <c r="D89" i="11"/>
  <c r="J89" i="11" s="1"/>
  <c r="E89" i="11"/>
  <c r="K40" i="11" l="1"/>
  <c r="K36" i="11"/>
  <c r="K39" i="11"/>
  <c r="K38" i="11"/>
  <c r="K42" i="11"/>
  <c r="K41" i="11"/>
  <c r="H87" i="11"/>
  <c r="I85" i="11"/>
  <c r="I89" i="11"/>
  <c r="H86" i="11"/>
  <c r="J84" i="11"/>
  <c r="J88" i="11"/>
  <c r="H89" i="11"/>
  <c r="I88" i="11"/>
  <c r="J87" i="11"/>
  <c r="H85" i="11"/>
  <c r="I84" i="11"/>
  <c r="I87" i="11"/>
  <c r="J86" i="11"/>
  <c r="K87" i="11" l="1"/>
  <c r="K86" i="11"/>
  <c r="K85" i="11"/>
  <c r="K84" i="11"/>
  <c r="K89" i="11"/>
  <c r="K88" i="11"/>
  <c r="D101" i="11" l="1"/>
  <c r="H101" i="11" s="1"/>
  <c r="E101" i="11"/>
  <c r="G101" i="11"/>
  <c r="F18" i="11"/>
  <c r="I101" i="11" l="1"/>
  <c r="J101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C6" i="62"/>
  <c r="D15" i="11"/>
  <c r="J15" i="11" s="1"/>
  <c r="E15" i="11"/>
  <c r="G15" i="11"/>
  <c r="D17" i="11"/>
  <c r="J17" i="11" s="1"/>
  <c r="E17" i="11"/>
  <c r="G17" i="11"/>
  <c r="D18" i="11"/>
  <c r="E18" i="11"/>
  <c r="G18" i="11"/>
  <c r="D20" i="11"/>
  <c r="H20" i="11" s="1"/>
  <c r="E20" i="11"/>
  <c r="G20" i="11"/>
  <c r="F34" i="11"/>
  <c r="F33" i="11"/>
  <c r="F32" i="11"/>
  <c r="F31" i="11"/>
  <c r="F30" i="11"/>
  <c r="F27" i="11"/>
  <c r="F26" i="11"/>
  <c r="F25" i="11"/>
  <c r="F24" i="11"/>
  <c r="F23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H35" i="11" s="1"/>
  <c r="E35" i="11"/>
  <c r="G35" i="11"/>
  <c r="D43" i="11"/>
  <c r="H43" i="11" s="1"/>
  <c r="E43" i="11"/>
  <c r="G43" i="11"/>
  <c r="D44" i="11"/>
  <c r="J44" i="11" s="1"/>
  <c r="E44" i="11"/>
  <c r="G44" i="11"/>
  <c r="I45" i="11"/>
  <c r="D46" i="11"/>
  <c r="J46" i="11" s="1"/>
  <c r="E46" i="11"/>
  <c r="G46" i="11"/>
  <c r="K101" i="11" l="1"/>
  <c r="J47" i="11"/>
  <c r="I47" i="11"/>
  <c r="I49" i="11"/>
  <c r="H49" i="11"/>
  <c r="I48" i="11"/>
  <c r="J48" i="11"/>
  <c r="I15" i="11"/>
  <c r="H15" i="11"/>
  <c r="I17" i="11"/>
  <c r="H17" i="11"/>
  <c r="J20" i="11"/>
  <c r="I20" i="11"/>
  <c r="J18" i="11"/>
  <c r="I18" i="11"/>
  <c r="H18" i="11"/>
  <c r="I25" i="11"/>
  <c r="J27" i="11"/>
  <c r="I21" i="11"/>
  <c r="J43" i="11"/>
  <c r="J35" i="11"/>
  <c r="I29" i="11"/>
  <c r="J28" i="11"/>
  <c r="J31" i="11"/>
  <c r="J24" i="11"/>
  <c r="J23" i="11"/>
  <c r="H21" i="11"/>
  <c r="I33" i="11"/>
  <c r="H25" i="11"/>
  <c r="H29" i="11"/>
  <c r="I44" i="11"/>
  <c r="H44" i="11"/>
  <c r="J32" i="11"/>
  <c r="I43" i="11"/>
  <c r="J34" i="11"/>
  <c r="I32" i="11"/>
  <c r="I28" i="11"/>
  <c r="I24" i="11"/>
  <c r="H33" i="11"/>
  <c r="I35" i="11"/>
  <c r="I34" i="11"/>
  <c r="I31" i="11"/>
  <c r="I30" i="11"/>
  <c r="I27" i="11"/>
  <c r="I26" i="11"/>
  <c r="I23" i="11"/>
  <c r="I22" i="11"/>
  <c r="I46" i="11"/>
  <c r="H45" i="11"/>
  <c r="H34" i="11"/>
  <c r="H30" i="11"/>
  <c r="H26" i="11"/>
  <c r="H22" i="11"/>
  <c r="J45" i="11"/>
  <c r="H46" i="11"/>
  <c r="K47" i="11" l="1"/>
  <c r="K48" i="11"/>
  <c r="K49" i="11"/>
  <c r="K15" i="11"/>
  <c r="K17" i="11"/>
  <c r="K27" i="11"/>
  <c r="K20" i="11"/>
  <c r="K32" i="11"/>
  <c r="K18" i="11"/>
  <c r="K43" i="11"/>
  <c r="K25" i="11"/>
  <c r="K35" i="11"/>
  <c r="K21" i="11"/>
  <c r="K31" i="11"/>
  <c r="K26" i="11"/>
  <c r="K29" i="11"/>
  <c r="K23" i="11"/>
  <c r="K28" i="11"/>
  <c r="K44" i="11"/>
  <c r="K34" i="11"/>
  <c r="K24" i="11"/>
  <c r="K22" i="11"/>
  <c r="K33" i="11"/>
  <c r="K46" i="11"/>
  <c r="K30" i="11"/>
  <c r="K45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0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2" i="11"/>
  <c r="D103" i="11"/>
  <c r="H103" i="11" s="1"/>
  <c r="E10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3" i="11"/>
  <c r="I10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103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105" i="11"/>
  <c r="H106" i="11" s="1"/>
  <c r="I105" i="11"/>
  <c r="I106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7" i="11"/>
  <c r="I107" i="11"/>
  <c r="F364" i="29"/>
  <c r="F69" i="39"/>
  <c r="F72" i="39"/>
  <c r="F367" i="29"/>
  <c r="J102" i="11"/>
  <c r="K102" i="11" s="1"/>
  <c r="K105" i="11" s="1"/>
  <c r="K10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05" i="11"/>
  <c r="J106" i="11" s="1"/>
  <c r="K107" i="11"/>
  <c r="B10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<sst xmlns="http://schemas.openxmlformats.org/spreadsheetml/2006/main" count="4768" uniqueCount="1638">
  <si>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</si>
  <si>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</si>
  <si>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</si>
  <si>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</si>
  <si>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</si>
  <si>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</si>
  <si>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</si>
  <si>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</si>
  <si>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</si>
  <si>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</si>
  <si>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</si>
  <si>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</si>
  <si>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</si>
  <si>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</si>
  <si>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</si>
  <si>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</si>
  <si>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</si>
  <si>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</si>
  <si>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</si>
  <si>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</si>
  <si>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</si>
  <si>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</si>
  <si>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</si>
  <si>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</si>
  <si>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</si>
  <si>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</si>
  <si>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</si>
  <si>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</si>
  <si>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</si>
  <si>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</si>
  <si>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</si>
  <si>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</si>
  <si>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</si>
  <si>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</si>
  <si>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</si>
  <si>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</si>
  <si>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</si>
  <si>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</si>
  <si>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</si>
  <si>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</si>
  <si>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</si>
  <si>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</si>
  <si>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</si>
  <si>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</si>
  <si>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</si>
  <si>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</si>
  <si>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</si>
  <si>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</si>
  <si>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</si>
  <si>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</si>
  <si>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</si>
  <si>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</si>
  <si>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</si>
  <si>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</si>
  <si>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</si>
  <si>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</si>
  <si>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</si>
  <si>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</si>
  <si>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</si>
  <si>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</si>
  <si>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</si>
  <si>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</si>
  <si>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</si>
  <si>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</si>
  <si>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</si>
  <si>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</si>
  <si>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</si>
  <si>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</si>
  <si>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</si>
  <si>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</si>
  <si>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</si>
  <si>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</si>
  <si>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</si>
  <si>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</si>
  <si>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</si>
  <si>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</si>
  <si>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</si>
  <si>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</si>
  <si>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</si>
  <si>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</si>
  <si>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</si>
  <si>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</si>
  <si>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</si>
  <si>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</si>
  <si>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</si>
  <si>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</si>
  <si>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</si>
  <si>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</si>
  <si>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</si>
  <si>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</si>
  <si>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</si>
  <si>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</si>
  <si>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</si>
  <si>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</si>
  <si>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</si>
  <si>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</si>
  <si>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</si>
  <si>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</si>
  <si>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</si>
  <si>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</si>
  <si>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</si>
  <si>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</si>
  <si>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</si>
  <si>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</si>
  <si>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</si>
  <si>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</si>
  <si>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</si>
  <si>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</si>
  <si>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</si>
  <si>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</si>
  <si>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</si>
  <si>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</si>
  <si>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</si>
  <si>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</si>
  <si>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</si>
  <si>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</si>
  <si>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</si>
  <si>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</si>
  <si>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</si>
  <si>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</si>
  <si>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</si>
  <si>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</si>
  <si>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</si>
  <si>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</si>
  <si>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</si>
  <si>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</si>
  <si>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</si>
  <si>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</si>
  <si>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</si>
  <si>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</si>
  <si>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</si>
  <si>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</si>
  <si>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</si>
  <si>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</si>
  <si>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</si>
  <si>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</si>
  <si>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</si>
  <si>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</si>
  <si>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</si>
  <si>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</si>
  <si>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</si>
  <si>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</si>
  <si>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</si>
  <si>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</si>
  <si>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</si>
  <si>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</si>
  <si>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</si>
  <si>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</si>
  <si>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</si>
  <si>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</si>
  <si>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</si>
  <si>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</si>
  <si>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</si>
  <si>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</si>
  <si>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</si>
  <si>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</si>
  <si>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</si>
  <si>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</si>
  <si>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</si>
  <si>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</si>
  <si>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</si>
  <si>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</si>
  <si>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</si>
  <si>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</si>
  <si>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</si>
  <si>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</si>
  <si>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</si>
  <si>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</si>
  <si>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</si>
  <si>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</si>
  <si>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</si>
  <si>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</si>
  <si>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</si>
  <si>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</si>
  <si>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</si>
  <si>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</si>
  <si>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</si>
  <si>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</si>
  <si>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</si>
  <si>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</si>
  <si>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</si>
  <si>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</si>
  <si>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</si>
  <si>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</si>
  <si>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</si>
  <si>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</si>
  <si>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</si>
  <si>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</si>
  <si>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</si>
  <si>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</si>
  <si>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</si>
  <si>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</si>
  <si>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</si>
  <si>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</si>
  <si>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</si>
  <si>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</si>
  <si>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</si>
  <si>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</si>
  <si>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</si>
  <si>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</si>
  <si>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</si>
  <si>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</si>
  <si>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</si>
  <si>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</si>
  <si>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</si>
  <si>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</si>
  <si>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</si>
  <si>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</si>
  <si>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</si>
  <si>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</si>
  <si>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</si>
  <si>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</si>
  <si>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</si>
  <si>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</si>
  <si>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</si>
  <si>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</si>
  <si>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</si>
  <si>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</si>
  <si>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</si>
  <si>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</si>
  <si>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</si>
  <si>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</si>
  <si>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</si>
  <si>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</si>
  <si>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</si>
  <si>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</si>
  <si>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</si>
  <si>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</si>
  <si>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</si>
  <si>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</si>
  <si>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</si>
  <si>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</si>
  <si>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</si>
  <si>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</si>
  <si>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</si>
  <si>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</si>
  <si>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</si>
  <si>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</si>
  <si>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</si>
  <si>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</si>
  <si>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</si>
  <si>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</si>
  <si>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</si>
  <si>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</si>
  <si>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</si>
  <si>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</si>
  <si>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</si>
  <si>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</si>
  <si>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</si>
  <si>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</si>
  <si>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</si>
  <si>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</si>
  <si>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</si>
  <si>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</si>
  <si>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</si>
  <si>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</si>
  <si>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</si>
  <si>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</si>
  <si>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</si>
  <si>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</si>
  <si>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</si>
  <si>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</si>
  <si>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</si>
  <si>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</si>
  <si>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</si>
  <si>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</si>
  <si>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</si>
  <si>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</si>
  <si>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</si>
  <si>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</si>
  <si>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</si>
  <si>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</si>
  <si>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</si>
  <si>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</si>
  <si>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</si>
  <si>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</si>
  <si>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</si>
  <si>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</si>
  <si>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</si>
  <si>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</si>
  <si>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</si>
  <si>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</si>
  <si>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</si>
  <si>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</si>
  <si>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</si>
  <si>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</si>
  <si>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</si>
  <si>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</si>
  <si>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</si>
  <si>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</si>
  <si>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</si>
  <si>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</si>
  <si>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</si>
  <si>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</si>
  <si>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</si>
  <si>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</si>
  <si>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</si>
  <si>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</si>
  <si>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</si>
  <si>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</si>
  <si>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</si>
  <si>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</si>
  <si>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</si>
  <si>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</si>
  <si>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</si>
  <si>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</si>
  <si>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</si>
  <si>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</si>
  <si>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</si>
  <si>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</si>
  <si>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</si>
  <si>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</si>
  <si>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</si>
  <si>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</si>
  <si>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</si>
  <si>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</si>
  <si>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</si>
  <si>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</si>
  <si>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</si>
  <si>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</si>
  <si>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</si>
  <si>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</si>
  <si>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</si>
  <si>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</si>
  <si>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</si>
  <si>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</si>
  <si>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</si>
  <si>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</si>
  <si>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</si>
  <si>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</si>
  <si>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</si>
  <si>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</si>
  <si>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</si>
  <si>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</si>
  <si>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</si>
  <si>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</si>
  <si>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</si>
  <si>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</si>
  <si>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</si>
  <si>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</si>
  <si>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</si>
  <si>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</si>
  <si>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</si>
  <si>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</si>
  <si>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</si>
  <si>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</si>
  <si>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</si>
  <si>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</si>
  <si>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</si>
  <si>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</si>
  <si>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</si>
  <si>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</si>
  <si>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</si>
  <si>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</si>
  <si>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</si>
  <si>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</si>
  <si>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</si>
  <si>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</si>
  <si>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</si>
  <si>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</si>
  <si>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</si>
  <si>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</si>
  <si>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</si>
  <si>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</si>
  <si>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</si>
  <si>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</si>
  <si>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</si>
  <si>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</si>
  <si>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</si>
  <si>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</si>
  <si>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</si>
  <si>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</si>
  <si>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</si>
  <si>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</si>
  <si>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</si>
  <si>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</si>
  <si>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</si>
  <si>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</si>
  <si>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</si>
  <si>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</si>
  <si>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</si>
  <si>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</si>
  <si>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</si>
  <si>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</si>
  <si>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</si>
  <si>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</si>
  <si>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</si>
  <si>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</si>
  <si>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</si>
  <si>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</si>
  <si>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</si>
  <si>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</si>
  <si>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</si>
  <si>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</si>
  <si>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</si>
  <si>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</si>
  <si>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</si>
  <si>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</si>
  <si>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</si>
  <si>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</si>
  <si>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</si>
  <si>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</si>
  <si>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</si>
  <si>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</si>
  <si>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</si>
  <si>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</si>
  <si>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</si>
  <si>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</si>
  <si>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</si>
  <si>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</si>
  <si>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</si>
  <si>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</si>
  <si>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</si>
  <si>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</si>
  <si>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</si>
  <si>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</si>
  <si>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</si>
  <si>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</si>
  <si>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</si>
  <si>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</si>
  <si>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</si>
  <si>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</si>
  <si>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</si>
  <si>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</si>
  <si>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</si>
  <si>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</si>
  <si>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</si>
  <si>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</si>
  <si>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</si>
  <si>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</si>
  <si>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</si>
  <si>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</si>
  <si>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</si>
  <si>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</si>
  <si>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</si>
  <si>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</si>
  <si>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</si>
  <si>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</si>
  <si>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</si>
  <si>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</si>
  <si>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</si>
  <si>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</si>
  <si>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</si>
  <si>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</si>
  <si>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</si>
  <si>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</si>
  <si>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</si>
  <si>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</si>
  <si>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</si>
  <si>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</si>
  <si>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</si>
  <si>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</si>
  <si>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</si>
  <si>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</si>
  <si>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</si>
  <si>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</si>
  <si>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</si>
  <si>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</si>
  <si>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</si>
  <si>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</si>
  <si>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</si>
  <si>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</si>
  <si>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</si>
  <si>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</si>
  <si>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</si>
  <si>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</si>
  <si>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</si>
  <si>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</si>
  <si>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</si>
  <si>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</si>
  <si>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</si>
  <si>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</si>
  <si>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</si>
  <si>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</si>
  <si>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</si>
  <si>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</si>
  <si>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</si>
  <si>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</si>
  <si>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</si>
  <si>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</si>
  <si>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</si>
  <si>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</si>
  <si>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</si>
  <si>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</si>
  <si>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</si>
  <si>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</si>
  <si>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</si>
  <si>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</si>
  <si>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</si>
  <si>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</si>
  <si>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</si>
  <si>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</si>
  <si>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</si>
  <si>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</si>
  <si>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</si>
  <si>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</si>
  <si>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</si>
  <si>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</si>
  <si>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</si>
  <si>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</si>
  <si>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</si>
  <si>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</si>
  <si>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</si>
  <si>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</si>
  <si>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</si>
  <si>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</si>
  <si>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</si>
  <si>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</si>
  <si>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</si>
  <si>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</si>
  <si>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</si>
  <si>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</si>
  <si>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</si>
  <si>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</si>
  <si>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</si>
  <si>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</si>
  <si>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</si>
  <si>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</si>
  <si>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</si>
  <si>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</si>
  <si>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</si>
  <si>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</si>
  <si>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</si>
  <si>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</si>
  <si>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</si>
  <si>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</si>
  <si>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</si>
  <si>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</si>
  <si>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</si>
  <si>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</si>
  <si>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</si>
  <si>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</si>
  <si>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</si>
  <si>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</si>
  <si>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</si>
  <si>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</si>
  <si>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</si>
  <si>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</si>
  <si>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</si>
  <si>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</si>
  <si>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</si>
  <si>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</si>
  <si>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</si>
  <si>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</si>
  <si>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</si>
  <si>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</si>
  <si>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</si>
  <si>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</si>
  <si>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</si>
  <si>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</si>
  <si>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</si>
  <si>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</si>
  <si>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</si>
  <si>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</si>
  <si>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</si>
  <si>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</si>
  <si>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</si>
  <si>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</si>
  <si>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</si>
  <si>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</si>
  <si>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</si>
  <si>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</si>
  <si>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</si>
  <si>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</si>
  <si>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</si>
  <si>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</si>
  <si>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</si>
  <si>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</si>
  <si>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</si>
  <si>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</si>
  <si>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</si>
  <si>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</si>
  <si>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</si>
  <si>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</si>
  <si>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</si>
  <si>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</si>
  <si>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</si>
  <si>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</si>
  <si>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</si>
  <si>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</si>
  <si>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</si>
  <si>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</si>
  <si>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</si>
  <si>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</si>
  <si>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</si>
  <si>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</si>
  <si>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</si>
  <si>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</si>
  <si>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</si>
  <si>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</si>
  <si>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</si>
  <si>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</si>
  <si>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</si>
  <si>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</si>
  <si>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</si>
  <si>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</si>
  <si>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</si>
  <si>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</si>
  <si>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</si>
  <si>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</si>
  <si>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</si>
  <si>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</si>
  <si>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</si>
  <si>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</si>
  <si>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</si>
  <si>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</si>
  <si>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</si>
  <si>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</si>
  <si>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</si>
  <si>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</si>
  <si>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</si>
  <si>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</si>
  <si>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</si>
  <si>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</si>
  <si>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</si>
  <si>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</si>
  <si>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</si>
  <si>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</si>
  <si>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</si>
  <si>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</si>
  <si>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</si>
  <si>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</si>
  <si>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</si>
  <si>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</si>
  <si>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</si>
  <si>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</si>
  <si>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</si>
  <si>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</si>
  <si>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</si>
  <si>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</si>
  <si>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</si>
  <si>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</si>
  <si>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</si>
  <si>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</si>
  <si>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</si>
  <si>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</si>
  <si>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</si>
  <si>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</si>
  <si>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</si>
  <si>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</si>
  <si>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</si>
  <si>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</si>
  <si>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</si>
  <si>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</si>
  <si>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</si>
  <si>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</si>
  <si>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</si>
  <si>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</si>
  <si>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</si>
  <si>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</si>
  <si>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</si>
  <si>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</si>
  <si>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</si>
  <si>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</si>
  <si>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</si>
  <si>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</si>
  <si>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</si>
  <si>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</si>
  <si>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</si>
  <si>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</si>
  <si>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</si>
  <si>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</si>
  <si>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</si>
  <si>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</si>
  <si>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</si>
  <si>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</si>
  <si>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</si>
  <si>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</si>
  <si>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</si>
  <si>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</si>
  <si>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</si>
  <si>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</si>
  <si>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</si>
  <si>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</si>
  <si>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</si>
  <si>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</si>
  <si>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</si>
  <si>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</si>
  <si>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</si>
  <si>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</si>
  <si>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</si>
  <si>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</si>
  <si>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</si>
  <si>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</si>
  <si>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</si>
  <si>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</si>
  <si>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</si>
  <si>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</si>
  <si>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</si>
  <si>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</si>
  <si>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</si>
  <si>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</si>
  <si>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</si>
  <si>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</si>
  <si>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</si>
  <si>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</si>
  <si>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</si>
  <si>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</si>
  <si>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</si>
  <si>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</si>
  <si>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</si>
  <si>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</si>
  <si>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</si>
  <si>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</si>
  <si>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</si>
  <si>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</si>
  <si>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</si>
  <si>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</si>
  <si>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</si>
  <si>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</si>
  <si>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</si>
  <si>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</si>
  <si>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</si>
  <si>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</si>
  <si>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</si>
  <si>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</si>
  <si>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</si>
  <si>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</si>
  <si>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</si>
  <si>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</si>
  <si>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</si>
  <si>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</si>
  <si>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</si>
  <si>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</si>
  <si>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</si>
  <si>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</si>
  <si>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</si>
  <si>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</si>
  <si>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</si>
  <si>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</si>
  <si>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</si>
  <si>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</si>
  <si>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</si>
  <si>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</si>
  <si>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</si>
  <si>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</si>
  <si>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</si>
  <si>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</si>
  <si>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</si>
  <si>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</si>
  <si>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</si>
  <si>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</si>
  <si>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</si>
  <si>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</si>
  <si>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</si>
  <si>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</si>
  <si>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</si>
  <si>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</si>
  <si>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</si>
  <si>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</si>
  <si>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</si>
  <si>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</si>
  <si>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</si>
  <si>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</si>
  <si>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</si>
  <si>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</si>
  <si>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</si>
  <si>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</si>
  <si>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</si>
  <si>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</si>
  <si>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</si>
  <si>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</si>
  <si>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</si>
  <si>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</si>
  <si>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</si>
  <si>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</si>
  <si>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</si>
  <si>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</si>
  <si>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</si>
  <si>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</si>
  <si>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</si>
  <si>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</si>
  <si>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</si>
  <si>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</si>
  <si>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</si>
  <si>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</si>
  <si>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</si>
  <si>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</si>
  <si>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</si>
  <si>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</si>
  <si>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</si>
  <si>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</si>
  <si>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</si>
  <si>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</si>
  <si>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</si>
  <si>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</si>
  <si>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</si>
  <si>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</si>
  <si>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</si>
  <si>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</si>
  <si>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</si>
  <si>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</si>
  <si>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</si>
  <si>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</si>
  <si>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</si>
  <si>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</si>
  <si>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</si>
  <si>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</si>
  <si>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</si>
  <si>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</si>
  <si>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</si>
  <si>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</si>
  <si>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</si>
  <si>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</si>
  <si>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</si>
  <si>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</si>
  <si>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</si>
  <si>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</si>
  <si>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</si>
  <si>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</si>
  <si>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</si>
  <si>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</si>
  <si>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</si>
  <si>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</si>
  <si>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</si>
  <si>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</si>
  <si>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</si>
  <si>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</si>
  <si>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</si>
  <si>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</si>
  <si>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</si>
  <si>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</si>
  <si>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</si>
  <si>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</si>
  <si>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</si>
  <si>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</si>
  <si>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</si>
  <si>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</si>
  <si>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</si>
  <si>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</si>
  <si>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</si>
  <si>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</si>
  <si>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</si>
  <si>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</si>
  <si>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</si>
  <si>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</si>
  <si>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</si>
  <si>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</si>
  <si>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</si>
  <si>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</si>
  <si>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</si>
  <si>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</si>
  <si>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</si>
  <si>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</si>
  <si>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</si>
  <si>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</si>
  <si>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</si>
  <si>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</si>
  <si>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</si>
  <si>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</si>
  <si>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</si>
  <si>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</si>
  <si>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</si>
  <si>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</si>
  <si>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</si>
  <si>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</si>
  <si>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</si>
  <si>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</si>
  <si>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</si>
  <si>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</si>
  <si>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</si>
  <si>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</si>
  <si>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</si>
  <si>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</si>
  <si>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</si>
  <si>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</si>
  <si>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</si>
  <si>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</si>
  <si>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</si>
  <si>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</si>
  <si>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</si>
  <si>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</si>
  <si>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</si>
  <si>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</si>
  <si>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</si>
  <si>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</si>
  <si>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</si>
  <si>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</si>
  <si>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</si>
  <si>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</si>
  <si>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</si>
  <si>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</si>
  <si>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</si>
  <si>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</si>
  <si>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</si>
  <si>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</si>
  <si>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</si>
  <si>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</si>
  <si>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</si>
  <si>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</si>
  <si>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</si>
  <si>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</si>
  <si>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</si>
  <si>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</si>
  <si>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</si>
  <si>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</si>
  <si>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</si>
  <si>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</si>
  <si>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</si>
  <si>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</si>
  <si>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</si>
  <si>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</si>
  <si>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</si>
  <si>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</si>
  <si>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</si>
  <si>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</si>
  <si>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</si>
  <si>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</si>
  <si>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</si>
  <si>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</si>
  <si>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</si>
  <si>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</si>
  <si>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</si>
  <si>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</si>
  <si>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</si>
  <si>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</si>
  <si>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</si>
  <si>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</si>
  <si>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</si>
  <si>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</si>
  <si>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</si>
  <si>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</si>
  <si>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</si>
  <si>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</si>
  <si>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</si>
  <si>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</si>
  <si>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</si>
  <si>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</si>
  <si>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</si>
  <si>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</si>
  <si>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</si>
  <si>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</si>
  <si>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</si>
  <si>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</si>
  <si>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</si>
  <si>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</si>
  <si>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</si>
  <si>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</si>
  <si>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</si>
  <si>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</si>
  <si>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</si>
  <si>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</si>
  <si>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</si>
  <si>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</si>
  <si>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</si>
  <si>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</si>
  <si>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</si>
  <si>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</si>
  <si>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</si>
  <si>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</si>
  <si>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</si>
  <si>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</si>
  <si>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</si>
  <si>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</si>
  <si>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</si>
  <si>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</si>
  <si>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</si>
  <si>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</si>
  <si>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</si>
  <si>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</si>
  <si>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</si>
  <si>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</si>
  <si>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</si>
  <si>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</si>
  <si>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</si>
  <si>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</si>
  <si>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</si>
  <si>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</si>
  <si>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</si>
  <si>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</si>
  <si>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</si>
  <si>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</si>
  <si>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</si>
  <si>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</si>
  <si>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</si>
  <si>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</si>
  <si>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</si>
  <si>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</si>
  <si>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</si>
  <si>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</si>
  <si>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</si>
  <si>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</si>
  <si>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</si>
  <si>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</si>
  <si>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</si>
  <si>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</si>
  <si>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</si>
  <si>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</si>
  <si>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</si>
  <si>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</si>
  <si>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</si>
  <si>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</si>
  <si>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</si>
  <si>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</si>
  <si>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</si>
  <si>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</si>
  <si>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</si>
  <si>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</si>
  <si>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</si>
  <si>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</si>
  <si>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</si>
  <si>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</si>
  <si>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</si>
  <si>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</si>
  <si>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</si>
  <si>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</si>
  <si>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</si>
  <si>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</si>
  <si>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</si>
  <si>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</si>
  <si>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</si>
  <si>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</si>
  <si>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</si>
  <si>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</si>
  <si>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</si>
  <si>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</si>
  <si>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</si>
  <si>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</si>
  <si>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</si>
  <si>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</si>
  <si>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</si>
  <si>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</si>
  <si>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</si>
  <si>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</si>
  <si>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</si>
  <si>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</si>
  <si>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</si>
  <si>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</si>
  <si>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</si>
  <si>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</si>
  <si>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</si>
  <si>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</si>
  <si>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</si>
  <si>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</si>
  <si>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</si>
  <si>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</si>
  <si>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</si>
  <si>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</si>
  <si>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</si>
  <si>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</si>
  <si>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</si>
  <si>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</si>
  <si>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</si>
  <si>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</si>
  <si>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</si>
  <si>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</si>
  <si>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</si>
  <si>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</si>
  <si>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</si>
  <si>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</si>
  <si>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</si>
  <si>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</si>
  <si>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</si>
  <si>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</si>
  <si>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</si>
  <si>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</si>
  <si>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</si>
  <si>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</si>
  <si>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</si>
  <si>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</si>
  <si>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</si>
  <si>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</si>
  <si>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</si>
  <si>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</si>
  <si>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</si>
  <si>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</si>
  <si>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</si>
  <si>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</si>
  <si>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</si>
  <si>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</si>
  <si>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</si>
  <si>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</si>
  <si>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</si>
  <si>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</si>
  <si>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</si>
  <si>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</si>
  <si>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</si>
  <si>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</si>
  <si>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</si>
  <si>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</si>
  <si>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</si>
  <si>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</si>
  <si>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</si>
  <si>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</si>
  <si>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</si>
  <si>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</si>
  <si>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</si>
  <si>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</si>
  <si>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</si>
  <si>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</si>
  <si>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</si>
  <si>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</si>
  <si>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</si>
  <si>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</si>
  <si>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</si>
  <si>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</si>
  <si>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</si>
  <si>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</si>
  <si>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</si>
  <si>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</si>
  <si>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</si>
  <si>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</si>
  <si>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</si>
  <si>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</si>
  <si>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</si>
  <si>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</si>
  <si>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</si>
  <si>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</si>
  <si>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</si>
  <si>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</si>
  <si>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</si>
  <si>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</si>
  <si>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</si>
  <si>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</si>
  <si>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</si>
  <si>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</si>
  <si>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</si>
  <si>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</si>
  <si>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</si>
  <si>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</si>
  <si>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</si>
  <si>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</si>
  <si>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</si>
  <si>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</si>
  <si>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</si>
  <si>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</si>
  <si>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</si>
  <si>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</si>
  <si>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</si>
  <si>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</si>
  <si>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</si>
  <si>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</si>
  <si>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</si>
  <si>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</si>
  <si>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</si>
  <si>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</si>
  <si>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</si>
  <si>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</si>
  <si>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</si>
  <si>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</si>
  <si>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</si>
  <si>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</si>
  <si>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</si>
  <si>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</si>
  <si>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</si>
  <si>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</si>
  <si>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</si>
  <si>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</si>
  <si>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</si>
  <si>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</si>
  <si>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</si>
  <si>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</si>
  <si>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</si>
  <si>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</si>
  <si>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</si>
  <si>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</si>
  <si>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</si>
  <si>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</si>
  <si>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</si>
  <si>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</si>
  <si>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</si>
  <si>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</si>
  <si>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</si>
  <si>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</si>
  <si>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</si>
  <si>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</si>
  <si>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</si>
  <si>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</si>
  <si>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</si>
  <si>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</si>
  <si>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</si>
  <si>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</si>
  <si>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</si>
  <si>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</si>
  <si>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</si>
  <si>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</si>
  <si>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</si>
  <si>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</si>
  <si>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</si>
  <si>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</si>
  <si>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</si>
  <si>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</si>
  <si>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</si>
  <si>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</si>
  <si>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</si>
  <si>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</si>
  <si>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</si>
  <si>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</si>
  <si>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</si>
  <si>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</si>
  <si>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</si>
  <si>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</si>
  <si>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</si>
  <si>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</si>
  <si>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</si>
  <si>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</si>
  <si>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</si>
  <si>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</si>
  <si>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</si>
  <si>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</si>
  <si>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</si>
  <si>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</si>
  <si>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</si>
  <si>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</si>
  <si>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</si>
  <si>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</si>
  <si>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</si>
  <si>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</si>
  <si>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</si>
  <si>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</si>
  <si>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</si>
  <si>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</si>
  <si>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</si>
  <si>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</si>
  <si>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</si>
  <si>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</si>
  <si>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</si>
  <si>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</si>
  <si>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</si>
  <si>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</si>
  <si>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</si>
  <si>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</si>
  <si>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</si>
  <si>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</si>
  <si>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</si>
  <si>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</si>
  <si>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</si>
  <si>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</si>
  <si>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</si>
  <si>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</si>
  <si>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</si>
  <si>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</si>
  <si>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</si>
  <si>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</si>
  <si>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</si>
  <si>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</si>
  <si>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</si>
  <si>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</si>
  <si>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</si>
  <si>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</si>
  <si>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</si>
  <si>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</si>
  <si>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</si>
  <si>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</si>
  <si>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</si>
  <si>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</si>
  <si>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</si>
  <si>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</si>
  <si>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</si>
  <si>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</si>
  <si>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</si>
  <si>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</si>
  <si>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</si>
  <si>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</si>
  <si>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</si>
  <si>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</si>
  <si>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</si>
  <si>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</si>
  <si>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</si>
  <si>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</si>
  <si>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</si>
  <si>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</si>
  <si>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</si>
  <si>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</si>
  <si>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</si>
  <si>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</si>
  <si>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</si>
  <si>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</si>
  <si>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</si>
  <si>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</si>
  <si>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</si>
  <si>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</si>
  <si>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</si>
  <si>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</si>
  <si>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</si>
  <si>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</si>
  <si>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</si>
  <si>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</si>
  <si>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</si>
  <si>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</si>
  <si>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</si>
  <si>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</si>
  <si>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</si>
  <si>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</si>
  <si>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</si>
  <si>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</si>
  <si>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</si>
  <si>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</si>
  <si>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</si>
  <si>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</si>
  <si>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</si>
  <si>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</si>
  <si>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</si>
  <si>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</si>
  <si>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</si>
  <si>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</si>
  <si>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</si>
  <si>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</si>
  <si>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</si>
  <si>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</si>
  <si>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</si>
  <si>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</si>
  <si>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</si>
  <si>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</si>
  <si>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</si>
  <si>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</si>
  <si>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</si>
  <si>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</si>
  <si>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</si>
  <si>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</si>
  <si>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</si>
  <si>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</si>
  <si>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</si>
  <si>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</si>
  <si>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</si>
  <si>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</si>
  <si>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</si>
  <si>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</si>
  <si>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</si>
  <si>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</si>
  <si>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</si>
  <si>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</si>
  <si>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</si>
  <si>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</si>
  <si>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</si>
  <si>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</si>
  <si>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</si>
  <si>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</si>
  <si>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</si>
  <si>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</si>
  <si>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</si>
  <si>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</si>
  <si>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</si>
  <si>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</si>
  <si>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</si>
  <si>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</si>
  <si>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</si>
  <si>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</si>
  <si>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</si>
  <si>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</si>
  <si>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</si>
  <si>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</si>
  <si>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</si>
  <si>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</si>
  <si>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</si>
  <si>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</si>
  <si>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</si>
  <si>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</si>
  <si>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</si>
  <si>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</si>
  <si>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</si>
  <si>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</si>
  <si>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</si>
  <si>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</si>
  <si>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</si>
  <si>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</si>
  <si>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</si>
  <si>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</si>
  <si>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</si>
  <si>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</si>
  <si>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</si>
  <si>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</si>
  <si>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</si>
  <si>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</si>
  <si>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</si>
  <si>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</si>
  <si>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</si>
  <si>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</si>
  <si>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</si>
  <si>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</si>
  <si>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</si>
  <si>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</si>
  <si>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</si>
  <si>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</si>
  <si>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</si>
  <si>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</si>
  <si>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</si>
  <si>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</si>
  <si>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</si>
  <si>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</si>
  <si>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</si>
  <si>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</si>
  <si>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</si>
  <si>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</si>
  <si>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</si>
  <si>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</si>
  <si>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</si>
  <si>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</si>
  <si>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</si>
  <si>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</si>
  <si>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</si>
  <si>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</si>
  <si>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</si>
  <si>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</si>
  <si>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</si>
  <si>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</si>
  <si>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</si>
  <si>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</si>
  <si>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</si>
  <si>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</si>
  <si>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</si>
  <si>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</si>
  <si>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</si>
  <si>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</si>
  <si>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</si>
  <si>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</si>
  <si>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</si>
  <si>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</si>
  <si>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</si>
  <si>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</si>
  <si>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</si>
  <si>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</si>
  <si>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</si>
  <si>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</si>
  <si>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</si>
  <si>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</si>
  <si>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</si>
  <si>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</si>
  <si>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</si>
  <si>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</si>
  <si>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</si>
  <si>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</si>
  <si>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</si>
  <si>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</si>
  <si>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</si>
  <si>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</si>
  <si>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</si>
  <si>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</si>
  <si>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</si>
  <si>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</si>
  <si>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</si>
  <si>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</si>
  <si>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</si>
  <si>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</si>
  <si>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</si>
  <si>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</si>
  <si>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</si>
  <si>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</si>
  <si>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</si>
  <si>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</si>
  <si>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</si>
  <si>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</si>
  <si>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</si>
  <si>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</si>
  <si>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</si>
  <si>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</si>
  <si>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</si>
  <si>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</si>
  <si>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</si>
  <si>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</si>
  <si>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</si>
  <si>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</si>
  <si>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</si>
  <si>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</si>
  <si>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</si>
  <si>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</si>
  <si>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</si>
  <si>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</si>
  <si>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</si>
  <si>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</si>
  <si>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</si>
  <si>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</si>
  <si>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</si>
  <si>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</si>
  <si>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</si>
  <si>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</si>
  <si>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</si>
  <si>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</si>
  <si>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</si>
  <si>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</si>
  <si>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</si>
  <si>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</si>
  <si>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</si>
  <si>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</si>
  <si>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</si>
  <si>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</si>
  <si>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</si>
  <si>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</si>
  <si>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</si>
  <si>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</si>
  <si>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</si>
  <si>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</si>
  <si>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</si>
  <si>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</si>
  <si>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</si>
  <si>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</si>
  <si>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</si>
  <si>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</si>
  <si>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</si>
  <si>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</si>
  <si>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</si>
  <si>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</si>
  <si>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</si>
  <si>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</si>
  <si>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</si>
  <si>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</si>
  <si>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</si>
  <si>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</si>
  <si>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</si>
  <si>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</si>
  <si>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</si>
  <si>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</si>
  <si>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</si>
  <si>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</si>
  <si>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</si>
  <si>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</si>
  <si>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</si>
  <si>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</si>
  <si>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</si>
  <si>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</si>
  <si>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</si>
  <si>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</si>
  <si>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</si>
  <si>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</si>
  <si>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</si>
  <si>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</si>
  <si>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</si>
  <si>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</si>
  <si>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</si>
  <si>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</si>
  <si>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</si>
  <si>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</si>
  <si>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</si>
  <si>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</si>
  <si>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</si>
  <si>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</si>
  <si>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</si>
  <si>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</si>
  <si>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</si>
  <si>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</si>
  <si>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</si>
  <si>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</si>
  <si>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</si>
  <si>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</si>
  <si>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</si>
  <si>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</si>
  <si>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</si>
  <si>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</si>
  <si>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</si>
  <si>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</si>
  <si>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</si>
  <si>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</si>
  <si>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</si>
  <si>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</si>
  <si>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</si>
  <si>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</si>
  <si>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</si>
  <si>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</si>
  <si>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</si>
  <si>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</si>
  <si>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</si>
  <si>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</si>
  <si>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</si>
  <si>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</si>
  <si>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</si>
  <si>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</si>
  <si>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</si>
  <si>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</si>
  <si>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</si>
  <si>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</si>
  <si>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</si>
  <si>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</si>
  <si>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</si>
  <si>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</si>
  <si>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</si>
  <si>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</si>
  <si>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</si>
  <si>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</si>
  <si>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</si>
  <si>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</si>
  <si>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</si>
  <si>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</si>
  <si>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</si>
  <si>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</si>
  <si>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</si>
  <si>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</si>
  <si>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</si>
  <si>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</si>
  <si>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</si>
  <si>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</si>
  <si>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</si>
  <si>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</si>
  <si>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</si>
  <si>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</si>
  <si>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</si>
  <si>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</si>
  <si>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</si>
  <si>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</si>
  <si>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</si>
  <si>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</si>
  <si>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</si>
  <si>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</si>
  <si>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</si>
  <si>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</si>
  <si>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</si>
  <si>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</si>
  <si>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</si>
  <si>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</si>
  <si>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</si>
  <si>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</si>
  <si>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</si>
  <si>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</si>
  <si>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</si>
  <si>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</si>
  <si>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</si>
  <si>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</si>
  <si>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</si>
  <si>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</si>
  <si>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</si>
  <si>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</si>
  <si>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</si>
  <si>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</si>
  <si>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</si>
  <si>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</si>
  <si>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</si>
  <si>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</si>
  <si>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</si>
  <si>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SCHOOR</t>
  </si>
  <si>
    <t>PLN</t>
  </si>
  <si>
    <t>MJ6-T</t>
  </si>
  <si>
    <t>R3</t>
  </si>
  <si>
    <t>Pemasangan APP 1 Fasa Di Bangunan</t>
  </si>
  <si>
    <t>DS KUNCIR KEC WONOSALAM</t>
  </si>
  <si>
    <t>KOORDINAT :-6.893321, 110.694995</t>
  </si>
  <si>
    <t>Trafo 1 Fasa CSP 50 KVA (G105, G106, G136)</t>
  </si>
  <si>
    <t xml:space="preserve">Jumper Wire : </t>
  </si>
  <si>
    <t>CM2-11M</t>
  </si>
  <si>
    <t>Stainless Steel Strap 20 X 0.7 mm</t>
  </si>
  <si>
    <t>CM5-9</t>
  </si>
  <si>
    <t>Staf teknik</t>
  </si>
  <si>
    <t>TL Teknik</t>
  </si>
  <si>
    <t>Manager ULP</t>
  </si>
  <si>
    <t>Manager Perencanaan</t>
  </si>
  <si>
    <t>Demak, 31 Januari 2024</t>
  </si>
  <si>
    <t>MANAGER ULP</t>
  </si>
  <si>
    <t>ACHMAD SUHENDRO</t>
  </si>
  <si>
    <t>Daya 7700 VA</t>
  </si>
  <si>
    <t xml:space="preserve"> ERA ISNAINI (GUDANG ROSOK)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</si>
</sst>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18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0.15400000000000003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0.86879668507654895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7</xdr:row>
      <xdr:rowOff>24871</xdr:rowOff>
    </xdr:from>
    <xdr:to>
      <xdr:col>11</xdr:col>
      <xdr:colOff>123824</xdr:colOff>
      <xdr:row>46</xdr:row>
      <xdr:rowOff>95253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 flipV="1">
          <a:off x="717284" y="4003412"/>
          <a:ext cx="6033032" cy="247649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52676</xdr:colOff>
      <xdr:row>6</xdr:row>
      <xdr:rowOff>31606</xdr:rowOff>
    </xdr:from>
    <xdr:to>
      <xdr:col>29</xdr:col>
      <xdr:colOff>337313</xdr:colOff>
      <xdr:row>18</xdr:row>
      <xdr:rowOff>4633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44058" y="972900"/>
          <a:ext cx="1483667" cy="1855615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259044</xdr:colOff>
      <xdr:row>40</xdr:row>
      <xdr:rowOff>121125</xdr:rowOff>
    </xdr:from>
    <xdr:to>
      <xdr:col>11</xdr:col>
      <xdr:colOff>168745</xdr:colOff>
      <xdr:row>40</xdr:row>
      <xdr:rowOff>125878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/>
      </xdr:nvCxnSpPr>
      <xdr:spPr>
        <a:xfrm flipH="1">
          <a:off x="2849844" y="6255225"/>
          <a:ext cx="1052701" cy="4753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56175</xdr:colOff>
      <xdr:row>4</xdr:row>
      <xdr:rowOff>77054</xdr:rowOff>
    </xdr:from>
    <xdr:to>
      <xdr:col>13</xdr:col>
      <xdr:colOff>369693</xdr:colOff>
      <xdr:row>7</xdr:row>
      <xdr:rowOff>139105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CF50539-ACED-0A72-823A-501ACB10A4B6}"/>
            </a:ext>
          </a:extLst>
        </xdr:cNvPr>
        <xdr:cNvSpPr txBox="1"/>
      </xdr:nvSpPr>
      <xdr:spPr>
        <a:xfrm>
          <a:off x="4170975" y="705704"/>
          <a:ext cx="694518" cy="5192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>
              <a:solidFill>
                <a:srgbClr val="FF0000"/>
              </a:solidFill>
            </a:rPr>
            <a:t>GUDANG ROSOK</a:t>
          </a:r>
        </a:p>
      </xdr:txBody>
    </xdr:sp>
    <xdr:clientData/>
  </xdr:twoCellAnchor>
  <xdr:twoCellAnchor>
    <xdr:from>
      <xdr:col>9</xdr:col>
      <xdr:colOff>323850</xdr:colOff>
      <xdr:row>12</xdr:row>
      <xdr:rowOff>142875</xdr:rowOff>
    </xdr:from>
    <xdr:to>
      <xdr:col>11</xdr:col>
      <xdr:colOff>78171</xdr:colOff>
      <xdr:row>15</xdr:row>
      <xdr:rowOff>101490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3295650" y="1990725"/>
          <a:ext cx="516321" cy="4253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strike="sngStrik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11</xdr:col>
      <xdr:colOff>168745</xdr:colOff>
      <xdr:row>40</xdr:row>
      <xdr:rowOff>33347</xdr:rowOff>
    </xdr:from>
    <xdr:to>
      <xdr:col>11</xdr:col>
      <xdr:colOff>284914</xdr:colOff>
      <xdr:row>40</xdr:row>
      <xdr:rowOff>151752</xdr:rowOff>
    </xdr:to>
    <xdr:grpSp>
      <xdr:nvGrpSpPr>
        <xdr:cNvPr id="3" name="Group 682">
          <a:extLst>
            <a:ext uri="{FF2B5EF4-FFF2-40B4-BE49-F238E27FC236}">
              <a16:creationId xmlns:a16="http://schemas.microsoft.com/office/drawing/2014/main" id="{0A5BD37C-5CCF-4AE2-A4AB-A2A6FD78BBFD}"/>
            </a:ext>
          </a:extLst>
        </xdr:cNvPr>
        <xdr:cNvGrpSpPr>
          <a:grpSpLocks/>
        </xdr:cNvGrpSpPr>
      </xdr:nvGrpSpPr>
      <xdr:grpSpPr bwMode="auto">
        <a:xfrm>
          <a:off x="3911510" y="6297435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2CF37E26-E023-E6D0-2BE1-358DD8E593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D5279A18-93D5-4AF6-E558-72E6FEFD8434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6AA2744D-1874-3A17-6A7C-42256EA22989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203382</xdr:colOff>
      <xdr:row>10</xdr:row>
      <xdr:rowOff>131056</xdr:rowOff>
    </xdr:from>
    <xdr:to>
      <xdr:col>11</xdr:col>
      <xdr:colOff>301444</xdr:colOff>
      <xdr:row>11</xdr:row>
      <xdr:rowOff>121632</xdr:rowOff>
    </xdr:to>
    <xdr:grpSp>
      <xdr:nvGrpSpPr>
        <xdr:cNvPr id="29" name="Group 18">
          <a:extLst>
            <a:ext uri="{FF2B5EF4-FFF2-40B4-BE49-F238E27FC236}">
              <a16:creationId xmlns:a16="http://schemas.microsoft.com/office/drawing/2014/main" id="{EFF216C3-C598-4234-9FFD-AF2975B4E017}"/>
            </a:ext>
          </a:extLst>
        </xdr:cNvPr>
        <xdr:cNvGrpSpPr>
          <a:grpSpLocks/>
        </xdr:cNvGrpSpPr>
      </xdr:nvGrpSpPr>
      <xdr:grpSpPr bwMode="auto">
        <a:xfrm rot="5022105">
          <a:off x="3921449" y="1724578"/>
          <a:ext cx="147458" cy="98062"/>
          <a:chOff x="12269933" y="1884219"/>
          <a:chExt cx="148768" cy="9732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563F6E49-5560-C919-FA73-C4E6AB2DDA8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76A8486-8474-B6A2-8F6A-7A9138513A9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9C29D6AA-DE88-37BD-81C0-1460E0DFC6A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374041</xdr:colOff>
      <xdr:row>41</xdr:row>
      <xdr:rowOff>82295</xdr:rowOff>
    </xdr:from>
    <xdr:to>
      <xdr:col>14</xdr:col>
      <xdr:colOff>6744</xdr:colOff>
      <xdr:row>43</xdr:row>
      <xdr:rowOff>16268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D77CA67-5D1E-4EFD-9D7E-62D036C87712}"/>
            </a:ext>
          </a:extLst>
        </xdr:cNvPr>
        <xdr:cNvSpPr/>
      </xdr:nvSpPr>
      <xdr:spPr>
        <a:xfrm>
          <a:off x="2583841" y="6368795"/>
          <a:ext cx="2299703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8</xdr:col>
      <xdr:colOff>307041</xdr:colOff>
      <xdr:row>31</xdr:row>
      <xdr:rowOff>85725</xdr:rowOff>
    </xdr:from>
    <xdr:to>
      <xdr:col>11</xdr:col>
      <xdr:colOff>209550</xdr:colOff>
      <xdr:row>32</xdr:row>
      <xdr:rowOff>142875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499F3A5-3F02-4DB0-99D1-36137DC8EBB2}"/>
            </a:ext>
          </a:extLst>
        </xdr:cNvPr>
        <xdr:cNvSpPr txBox="1"/>
      </xdr:nvSpPr>
      <xdr:spPr>
        <a:xfrm>
          <a:off x="2897841" y="4829175"/>
          <a:ext cx="1045509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NFA2X 2 X 25 MM</a:t>
          </a:r>
        </a:p>
      </xdr:txBody>
    </xdr:sp>
    <xdr:clientData/>
  </xdr:twoCellAnchor>
  <xdr:twoCellAnchor>
    <xdr:from>
      <xdr:col>11</xdr:col>
      <xdr:colOff>174812</xdr:colOff>
      <xdr:row>34</xdr:row>
      <xdr:rowOff>83484</xdr:rowOff>
    </xdr:from>
    <xdr:to>
      <xdr:col>11</xdr:col>
      <xdr:colOff>290981</xdr:colOff>
      <xdr:row>35</xdr:row>
      <xdr:rowOff>45007</xdr:rowOff>
    </xdr:to>
    <xdr:grpSp>
      <xdr:nvGrpSpPr>
        <xdr:cNvPr id="20" name="Group 682">
          <a:extLst>
            <a:ext uri="{FF2B5EF4-FFF2-40B4-BE49-F238E27FC236}">
              <a16:creationId xmlns:a16="http://schemas.microsoft.com/office/drawing/2014/main" id="{981A5FAF-1A72-4911-A846-F78B768EE00B}"/>
            </a:ext>
          </a:extLst>
        </xdr:cNvPr>
        <xdr:cNvGrpSpPr>
          <a:grpSpLocks/>
        </xdr:cNvGrpSpPr>
      </xdr:nvGrpSpPr>
      <xdr:grpSpPr bwMode="auto">
        <a:xfrm>
          <a:off x="3917577" y="5406278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7B68F110-59D9-4DAD-4D6E-4F0FB7D08A0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97724665-14BF-70F1-3C90-3BCA831F44CA}"/>
              </a:ext>
            </a:extLst>
          </xdr:cNvPr>
          <xdr:cNvCxnSpPr>
            <a:stCxn id="21" idx="1"/>
            <a:endCxn id="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6907EC32-D67A-84EB-2C9D-0EBF79E6E68E}"/>
              </a:ext>
            </a:extLst>
          </xdr:cNvPr>
          <xdr:cNvCxnSpPr>
            <a:stCxn id="21" idx="3"/>
            <a:endCxn id="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284914</xdr:colOff>
      <xdr:row>13</xdr:row>
      <xdr:rowOff>85537</xdr:rowOff>
    </xdr:from>
    <xdr:to>
      <xdr:col>11</xdr:col>
      <xdr:colOff>297144</xdr:colOff>
      <xdr:row>40</xdr:row>
      <xdr:rowOff>92550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3EF6390A-1EC1-46B9-948A-38E684F53C22}"/>
            </a:ext>
          </a:extLst>
        </xdr:cNvPr>
        <xdr:cNvCxnSpPr>
          <a:stCxn id="5" idx="6"/>
          <a:endCxn id="68" idx="6"/>
        </xdr:cNvCxnSpPr>
      </xdr:nvCxnSpPr>
      <xdr:spPr>
        <a:xfrm flipV="1">
          <a:off x="4018714" y="2095312"/>
          <a:ext cx="12230" cy="41313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239060</xdr:colOff>
      <xdr:row>9</xdr:row>
      <xdr:rowOff>47248</xdr:rowOff>
    </xdr:from>
    <xdr:to>
      <xdr:col>11</xdr:col>
      <xdr:colOff>258110</xdr:colOff>
      <xdr:row>13</xdr:row>
      <xdr:rowOff>57150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FFA3B81A-EA35-4AA9-A8D1-DAB76CEA722E}"/>
            </a:ext>
          </a:extLst>
        </xdr:cNvPr>
        <xdr:cNvCxnSpPr/>
      </xdr:nvCxnSpPr>
      <xdr:spPr>
        <a:xfrm flipV="1">
          <a:off x="3972860" y="1437898"/>
          <a:ext cx="19050" cy="62902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242031</xdr:colOff>
      <xdr:row>40</xdr:row>
      <xdr:rowOff>50687</xdr:rowOff>
    </xdr:from>
    <xdr:to>
      <xdr:col>11</xdr:col>
      <xdr:colOff>185758</xdr:colOff>
      <xdr:row>40</xdr:row>
      <xdr:rowOff>55440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B46D6DD1-E483-4585-8C36-A1127B0486D1}"/>
            </a:ext>
          </a:extLst>
        </xdr:cNvPr>
        <xdr:cNvCxnSpPr>
          <a:stCxn id="5" idx="1"/>
          <a:endCxn id="185" idx="7"/>
        </xdr:cNvCxnSpPr>
      </xdr:nvCxnSpPr>
      <xdr:spPr>
        <a:xfrm flipH="1">
          <a:off x="2832831" y="6184787"/>
          <a:ext cx="1086727" cy="47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15</xdr:row>
      <xdr:rowOff>66677</xdr:rowOff>
    </xdr:from>
    <xdr:to>
      <xdr:col>11</xdr:col>
      <xdr:colOff>240938</xdr:colOff>
      <xdr:row>16</xdr:row>
      <xdr:rowOff>54474</xdr:rowOff>
    </xdr:to>
    <xdr:grpSp>
      <xdr:nvGrpSpPr>
        <xdr:cNvPr id="98" name="Group 18">
          <a:extLst>
            <a:ext uri="{FF2B5EF4-FFF2-40B4-BE49-F238E27FC236}">
              <a16:creationId xmlns:a16="http://schemas.microsoft.com/office/drawing/2014/main" id="{E6F780E8-BCB3-46C8-B616-E03F085BE55C}"/>
            </a:ext>
          </a:extLst>
        </xdr:cNvPr>
        <xdr:cNvGrpSpPr>
          <a:grpSpLocks/>
        </xdr:cNvGrpSpPr>
      </xdr:nvGrpSpPr>
      <xdr:grpSpPr bwMode="auto">
        <a:xfrm rot="4840154">
          <a:off x="3862332" y="2443220"/>
          <a:ext cx="144680" cy="98063"/>
          <a:chOff x="12269933" y="1884219"/>
          <a:chExt cx="148768" cy="97327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5E684F22-FBEB-BEF4-A908-3D2F8641E7D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49C8CC9B-4BAE-9A8D-56C6-081231AC191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47877EA5-BD16-B9BF-AE2E-E26B3B08A05A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142961</xdr:colOff>
      <xdr:row>8</xdr:row>
      <xdr:rowOff>34825</xdr:rowOff>
    </xdr:from>
    <xdr:to>
      <xdr:col>13</xdr:col>
      <xdr:colOff>248065</xdr:colOff>
      <xdr:row>11</xdr:row>
      <xdr:rowOff>123868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101654DB-39C2-4A64-A4E5-C06B95D3BC90}"/>
            </a:ext>
          </a:extLst>
        </xdr:cNvPr>
        <xdr:cNvSpPr txBox="1"/>
      </xdr:nvSpPr>
      <xdr:spPr>
        <a:xfrm>
          <a:off x="4266726" y="1289884"/>
          <a:ext cx="486104" cy="55969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2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CM2-12A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138582</xdr:colOff>
      <xdr:row>46</xdr:row>
      <xdr:rowOff>0</xdr:rowOff>
    </xdr:from>
    <xdr:to>
      <xdr:col>21</xdr:col>
      <xdr:colOff>96466</xdr:colOff>
      <xdr:row>54</xdr:row>
      <xdr:rowOff>3417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556A07-F240-37B9-77C7-5279F72C5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2939" y="6953250"/>
          <a:ext cx="1481884" cy="1316906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29</xdr:row>
      <xdr:rowOff>28575</xdr:rowOff>
    </xdr:from>
    <xdr:to>
      <xdr:col>11</xdr:col>
      <xdr:colOff>297144</xdr:colOff>
      <xdr:row>29</xdr:row>
      <xdr:rowOff>142498</xdr:rowOff>
    </xdr:to>
    <xdr:grpSp>
      <xdr:nvGrpSpPr>
        <xdr:cNvPr id="26" name="Group 682">
          <a:extLst>
            <a:ext uri="{FF2B5EF4-FFF2-40B4-BE49-F238E27FC236}">
              <a16:creationId xmlns:a16="http://schemas.microsoft.com/office/drawing/2014/main" id="{78BFB6F9-1FA0-40E1-8A12-4868C615290E}"/>
            </a:ext>
          </a:extLst>
        </xdr:cNvPr>
        <xdr:cNvGrpSpPr>
          <a:grpSpLocks/>
        </xdr:cNvGrpSpPr>
      </xdr:nvGrpSpPr>
      <xdr:grpSpPr bwMode="auto">
        <a:xfrm>
          <a:off x="3923740" y="4578163"/>
          <a:ext cx="116169" cy="11392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B5590815-7B5C-C780-4B60-577ED03189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30AF0C2F-8FAE-9A03-33ED-CF1B60478819}"/>
              </a:ext>
            </a:extLst>
          </xdr:cNvPr>
          <xdr:cNvCxnSpPr>
            <a:stCxn id="35" idx="1"/>
            <a:endCxn id="3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F144501A-40F0-7F68-81E4-7422D1FF6F24}"/>
              </a:ext>
            </a:extLst>
          </xdr:cNvPr>
          <xdr:cNvCxnSpPr>
            <a:stCxn id="35" idx="3"/>
            <a:endCxn id="3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180975</xdr:colOff>
      <xdr:row>23</xdr:row>
      <xdr:rowOff>76200</xdr:rowOff>
    </xdr:from>
    <xdr:to>
      <xdr:col>11</xdr:col>
      <xdr:colOff>297144</xdr:colOff>
      <xdr:row>24</xdr:row>
      <xdr:rowOff>37723</xdr:rowOff>
    </xdr:to>
    <xdr:grpSp>
      <xdr:nvGrpSpPr>
        <xdr:cNvPr id="56" name="Group 682">
          <a:extLst>
            <a:ext uri="{FF2B5EF4-FFF2-40B4-BE49-F238E27FC236}">
              <a16:creationId xmlns:a16="http://schemas.microsoft.com/office/drawing/2014/main" id="{69D43157-4D92-45D9-BB4B-6807177E83E3}"/>
            </a:ext>
          </a:extLst>
        </xdr:cNvPr>
        <xdr:cNvGrpSpPr>
          <a:grpSpLocks/>
        </xdr:cNvGrpSpPr>
      </xdr:nvGrpSpPr>
      <xdr:grpSpPr bwMode="auto">
        <a:xfrm>
          <a:off x="3923740" y="3684494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6FFA7E82-5755-0580-FD80-6A29B259F9D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8337C2EA-7B8D-B69F-A28A-CEA9937B6309}"/>
              </a:ext>
            </a:extLst>
          </xdr:cNvPr>
          <xdr:cNvCxnSpPr>
            <a:stCxn id="57" idx="1"/>
            <a:endCxn id="5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D9850EB2-48DC-F300-85D2-EF08B7FA0543}"/>
              </a:ext>
            </a:extLst>
          </xdr:cNvPr>
          <xdr:cNvCxnSpPr>
            <a:stCxn id="57" idx="3"/>
            <a:endCxn id="5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200025</xdr:colOff>
      <xdr:row>18</xdr:row>
      <xdr:rowOff>57150</xdr:rowOff>
    </xdr:from>
    <xdr:to>
      <xdr:col>11</xdr:col>
      <xdr:colOff>316194</xdr:colOff>
      <xdr:row>19</xdr:row>
      <xdr:rowOff>18673</xdr:rowOff>
    </xdr:to>
    <xdr:grpSp>
      <xdr:nvGrpSpPr>
        <xdr:cNvPr id="61" name="Group 682">
          <a:extLst>
            <a:ext uri="{FF2B5EF4-FFF2-40B4-BE49-F238E27FC236}">
              <a16:creationId xmlns:a16="http://schemas.microsoft.com/office/drawing/2014/main" id="{CB0224A5-9567-49B5-A619-F21D3D75C3ED}"/>
            </a:ext>
          </a:extLst>
        </xdr:cNvPr>
        <xdr:cNvGrpSpPr>
          <a:grpSpLocks/>
        </xdr:cNvGrpSpPr>
      </xdr:nvGrpSpPr>
      <xdr:grpSpPr bwMode="auto">
        <a:xfrm>
          <a:off x="3942790" y="2881032"/>
          <a:ext cx="116169" cy="11840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46B530D0-6D20-2B45-8434-4B88D77E30E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7497052E-9AB7-5377-8F76-57C1C7568D80}"/>
              </a:ext>
            </a:extLst>
          </xdr:cNvPr>
          <xdr:cNvCxnSpPr>
            <a:stCxn id="62" idx="1"/>
            <a:endCxn id="6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8843B3FF-5AC3-4E69-187E-B74A01BD3FA5}"/>
              </a:ext>
            </a:extLst>
          </xdr:cNvPr>
          <xdr:cNvCxnSpPr>
            <a:stCxn id="62" idx="3"/>
            <a:endCxn id="6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180975</xdr:colOff>
      <xdr:row>13</xdr:row>
      <xdr:rowOff>28575</xdr:rowOff>
    </xdr:from>
    <xdr:to>
      <xdr:col>11</xdr:col>
      <xdr:colOff>297144</xdr:colOff>
      <xdr:row>13</xdr:row>
      <xdr:rowOff>142498</xdr:rowOff>
    </xdr:to>
    <xdr:grpSp>
      <xdr:nvGrpSpPr>
        <xdr:cNvPr id="67" name="Group 682">
          <a:extLst>
            <a:ext uri="{FF2B5EF4-FFF2-40B4-BE49-F238E27FC236}">
              <a16:creationId xmlns:a16="http://schemas.microsoft.com/office/drawing/2014/main" id="{80B310F7-938F-4FE5-BA7A-69F787DD06B8}"/>
            </a:ext>
          </a:extLst>
        </xdr:cNvPr>
        <xdr:cNvGrpSpPr>
          <a:grpSpLocks/>
        </xdr:cNvGrpSpPr>
      </xdr:nvGrpSpPr>
      <xdr:grpSpPr bwMode="auto">
        <a:xfrm>
          <a:off x="3923740" y="2068046"/>
          <a:ext cx="116169" cy="11392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821CE9B2-2319-341E-B326-5215087559D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6DFD6486-8995-ED73-0788-FAA82C44F0B3}"/>
              </a:ext>
            </a:extLst>
          </xdr:cNvPr>
          <xdr:cNvCxnSpPr>
            <a:stCxn id="68" idx="1"/>
            <a:endCxn id="6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FB5AA0DC-386D-3B22-261E-8C2F516D1EA8}"/>
              </a:ext>
            </a:extLst>
          </xdr:cNvPr>
          <xdr:cNvCxnSpPr>
            <a:stCxn id="68" idx="3"/>
            <a:endCxn id="6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200025</xdr:colOff>
      <xdr:row>8</xdr:row>
      <xdr:rowOff>57150</xdr:rowOff>
    </xdr:from>
    <xdr:to>
      <xdr:col>11</xdr:col>
      <xdr:colOff>316194</xdr:colOff>
      <xdr:row>9</xdr:row>
      <xdr:rowOff>18673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0C4FA4F9-51BE-48D1-825D-934D55C4C936}"/>
            </a:ext>
          </a:extLst>
        </xdr:cNvPr>
        <xdr:cNvGrpSpPr>
          <a:grpSpLocks/>
        </xdr:cNvGrpSpPr>
      </xdr:nvGrpSpPr>
      <xdr:grpSpPr bwMode="auto">
        <a:xfrm>
          <a:off x="3942790" y="1312209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194EED1D-E2CC-7F55-9E49-41AEA5B6975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AC18BE1A-B4FB-298C-F6B5-E62CBDDD854A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7C290F73-B1B5-C92B-D105-212ADCBD548D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304800</xdr:colOff>
      <xdr:row>40</xdr:row>
      <xdr:rowOff>9525</xdr:rowOff>
    </xdr:from>
    <xdr:to>
      <xdr:col>14</xdr:col>
      <xdr:colOff>39969</xdr:colOff>
      <xdr:row>40</xdr:row>
      <xdr:rowOff>127930</xdr:rowOff>
    </xdr:to>
    <xdr:grpSp>
      <xdr:nvGrpSpPr>
        <xdr:cNvPr id="103" name="Group 682">
          <a:extLst>
            <a:ext uri="{FF2B5EF4-FFF2-40B4-BE49-F238E27FC236}">
              <a16:creationId xmlns:a16="http://schemas.microsoft.com/office/drawing/2014/main" id="{698A23C9-4021-4BDD-A444-59554136880B}"/>
            </a:ext>
          </a:extLst>
        </xdr:cNvPr>
        <xdr:cNvGrpSpPr>
          <a:grpSpLocks/>
        </xdr:cNvGrpSpPr>
      </xdr:nvGrpSpPr>
      <xdr:grpSpPr bwMode="auto">
        <a:xfrm>
          <a:off x="4809565" y="6273613"/>
          <a:ext cx="116169" cy="11840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04" name="Oval 103">
            <a:extLst>
              <a:ext uri="{FF2B5EF4-FFF2-40B4-BE49-F238E27FC236}">
                <a16:creationId xmlns:a16="http://schemas.microsoft.com/office/drawing/2014/main" id="{F75E189A-39E3-2C19-B1BE-5C6C5D957F7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6DE4219-EA95-7629-1D44-A5462A495B43}"/>
              </a:ext>
            </a:extLst>
          </xdr:cNvPr>
          <xdr:cNvCxnSpPr>
            <a:stCxn id="104" idx="1"/>
            <a:endCxn id="10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114EBE5E-8CD4-D954-33B6-35EA1B82E533}"/>
              </a:ext>
            </a:extLst>
          </xdr:cNvPr>
          <xdr:cNvCxnSpPr>
            <a:stCxn id="104" idx="3"/>
            <a:endCxn id="10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142875</xdr:colOff>
      <xdr:row>40</xdr:row>
      <xdr:rowOff>38100</xdr:rowOff>
    </xdr:from>
    <xdr:to>
      <xdr:col>8</xdr:col>
      <xdr:colOff>259044</xdr:colOff>
      <xdr:row>41</xdr:row>
      <xdr:rowOff>4105</xdr:rowOff>
    </xdr:to>
    <xdr:grpSp>
      <xdr:nvGrpSpPr>
        <xdr:cNvPr id="182" name="Group 682">
          <a:extLst>
            <a:ext uri="{FF2B5EF4-FFF2-40B4-BE49-F238E27FC236}">
              <a16:creationId xmlns:a16="http://schemas.microsoft.com/office/drawing/2014/main" id="{E1A30A34-26B4-49BB-8333-F6B12A023AF7}"/>
            </a:ext>
          </a:extLst>
        </xdr:cNvPr>
        <xdr:cNvGrpSpPr>
          <a:grpSpLocks/>
        </xdr:cNvGrpSpPr>
      </xdr:nvGrpSpPr>
      <xdr:grpSpPr bwMode="auto">
        <a:xfrm>
          <a:off x="2742640" y="6302188"/>
          <a:ext cx="116169" cy="12288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061B3D06-EFC3-D662-7DC0-F07F5CEDD98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275AEE01-FA52-6D69-FDDF-4DE27913AD1A}"/>
              </a:ext>
            </a:extLst>
          </xdr:cNvPr>
          <xdr:cNvCxnSpPr>
            <a:stCxn id="185" idx="1"/>
            <a:endCxn id="18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AB972837-8765-F317-CE11-39EC9EC12708}"/>
              </a:ext>
            </a:extLst>
          </xdr:cNvPr>
          <xdr:cNvCxnSpPr>
            <a:stCxn id="185" idx="3"/>
            <a:endCxn id="18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303964</xdr:colOff>
      <xdr:row>40</xdr:row>
      <xdr:rowOff>97303</xdr:rowOff>
    </xdr:from>
    <xdr:to>
      <xdr:col>13</xdr:col>
      <xdr:colOff>323850</xdr:colOff>
      <xdr:row>40</xdr:row>
      <xdr:rowOff>121125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85C4CF2E-92DC-4834-83E6-4969762378EF}"/>
            </a:ext>
          </a:extLst>
        </xdr:cNvPr>
        <xdr:cNvCxnSpPr/>
      </xdr:nvCxnSpPr>
      <xdr:spPr>
        <a:xfrm flipH="1">
          <a:off x="4037764" y="6231403"/>
          <a:ext cx="781886" cy="23822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267901</xdr:colOff>
      <xdr:row>40</xdr:row>
      <xdr:rowOff>26865</xdr:rowOff>
    </xdr:from>
    <xdr:to>
      <xdr:col>14</xdr:col>
      <xdr:colOff>22956</xdr:colOff>
      <xdr:row>40</xdr:row>
      <xdr:rowOff>50687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CA063612-D8B1-4A48-A7FD-BD718E0B8340}"/>
            </a:ext>
          </a:extLst>
        </xdr:cNvPr>
        <xdr:cNvCxnSpPr>
          <a:stCxn id="104" idx="7"/>
          <a:endCxn id="5" idx="7"/>
        </xdr:cNvCxnSpPr>
      </xdr:nvCxnSpPr>
      <xdr:spPr>
        <a:xfrm flipH="1">
          <a:off x="4001701" y="6160965"/>
          <a:ext cx="898055" cy="238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166708</xdr:colOff>
      <xdr:row>13</xdr:row>
      <xdr:rowOff>87714</xdr:rowOff>
    </xdr:from>
    <xdr:to>
      <xdr:col>11</xdr:col>
      <xdr:colOff>178938</xdr:colOff>
      <xdr:row>40</xdr:row>
      <xdr:rowOff>96312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15B456C3-A59E-4B69-A049-42F74304FF80}"/>
            </a:ext>
          </a:extLst>
        </xdr:cNvPr>
        <xdr:cNvCxnSpPr/>
      </xdr:nvCxnSpPr>
      <xdr:spPr>
        <a:xfrm flipH="1">
          <a:off x="3900508" y="2097489"/>
          <a:ext cx="12230" cy="413292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17</xdr:row>
      <xdr:rowOff>47625</xdr:rowOff>
    </xdr:from>
    <xdr:to>
      <xdr:col>11</xdr:col>
      <xdr:colOff>97221</xdr:colOff>
      <xdr:row>20</xdr:row>
      <xdr:rowOff>15765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9125957E-0C2E-4AC4-BFD5-562ED64A2181}"/>
            </a:ext>
          </a:extLst>
        </xdr:cNvPr>
        <xdr:cNvSpPr txBox="1"/>
      </xdr:nvSpPr>
      <xdr:spPr>
        <a:xfrm>
          <a:off x="3314700" y="2667000"/>
          <a:ext cx="516321" cy="4253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strike="sngStrik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314325</xdr:colOff>
      <xdr:row>22</xdr:row>
      <xdr:rowOff>76200</xdr:rowOff>
    </xdr:from>
    <xdr:to>
      <xdr:col>11</xdr:col>
      <xdr:colOff>68646</xdr:colOff>
      <xdr:row>25</xdr:row>
      <xdr:rowOff>44340</xdr:rowOff>
    </xdr:to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B2B0A445-F98A-434C-A497-681AD6D93507}"/>
            </a:ext>
          </a:extLst>
        </xdr:cNvPr>
        <xdr:cNvSpPr txBox="1"/>
      </xdr:nvSpPr>
      <xdr:spPr>
        <a:xfrm>
          <a:off x="3286125" y="3457575"/>
          <a:ext cx="516321" cy="4253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strike="sngStrik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314325</xdr:colOff>
      <xdr:row>28</xdr:row>
      <xdr:rowOff>9525</xdr:rowOff>
    </xdr:from>
    <xdr:to>
      <xdr:col>11</xdr:col>
      <xdr:colOff>68646</xdr:colOff>
      <xdr:row>30</xdr:row>
      <xdr:rowOff>139590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D756CE88-F11C-40A6-9775-B96ED6090036}"/>
            </a:ext>
          </a:extLst>
        </xdr:cNvPr>
        <xdr:cNvSpPr txBox="1"/>
      </xdr:nvSpPr>
      <xdr:spPr>
        <a:xfrm>
          <a:off x="3286125" y="4305300"/>
          <a:ext cx="516321" cy="4253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strike="sngStrik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295275</xdr:colOff>
      <xdr:row>33</xdr:row>
      <xdr:rowOff>19050</xdr:rowOff>
    </xdr:from>
    <xdr:to>
      <xdr:col>11</xdr:col>
      <xdr:colOff>49596</xdr:colOff>
      <xdr:row>35</xdr:row>
      <xdr:rowOff>139590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CB90E254-4B8F-4321-9900-5EB33432F393}"/>
            </a:ext>
          </a:extLst>
        </xdr:cNvPr>
        <xdr:cNvSpPr txBox="1"/>
      </xdr:nvSpPr>
      <xdr:spPr>
        <a:xfrm>
          <a:off x="3267075" y="5067300"/>
          <a:ext cx="516321" cy="4253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strike="sngStrik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246529</xdr:colOff>
      <xdr:row>37</xdr:row>
      <xdr:rowOff>142875</xdr:rowOff>
    </xdr:from>
    <xdr:to>
      <xdr:col>11</xdr:col>
      <xdr:colOff>44824</xdr:colOff>
      <xdr:row>42</xdr:row>
      <xdr:rowOff>67235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5FCFD8F-3A09-41AB-9291-11841B5CE487}"/>
            </a:ext>
          </a:extLst>
        </xdr:cNvPr>
        <xdr:cNvSpPr txBox="1"/>
      </xdr:nvSpPr>
      <xdr:spPr>
        <a:xfrm>
          <a:off x="3227294" y="5936316"/>
          <a:ext cx="560295" cy="70877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1 CA-1</a:t>
          </a:r>
        </a:p>
        <a:p>
          <a:pPr algn="ctr"/>
          <a:r>
            <a:rPr lang="en-US" sz="500" b="1" u="none" strike="sngStrik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CG-106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CM5-6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CM2-11M</a:t>
          </a:r>
        </a:p>
      </xdr:txBody>
    </xdr:sp>
    <xdr:clientData/>
  </xdr:twoCellAnchor>
  <xdr:twoCellAnchor>
    <xdr:from>
      <xdr:col>11</xdr:col>
      <xdr:colOff>257176</xdr:colOff>
      <xdr:row>16</xdr:row>
      <xdr:rowOff>47626</xdr:rowOff>
    </xdr:from>
    <xdr:to>
      <xdr:col>11</xdr:col>
      <xdr:colOff>355238</xdr:colOff>
      <xdr:row>17</xdr:row>
      <xdr:rowOff>38202</xdr:rowOff>
    </xdr:to>
    <xdr:grpSp>
      <xdr:nvGrpSpPr>
        <xdr:cNvPr id="212" name="Group 18">
          <a:extLst>
            <a:ext uri="{FF2B5EF4-FFF2-40B4-BE49-F238E27FC236}">
              <a16:creationId xmlns:a16="http://schemas.microsoft.com/office/drawing/2014/main" id="{C47D1B9A-4931-44E3-90D6-8135820E8248}"/>
            </a:ext>
          </a:extLst>
        </xdr:cNvPr>
        <xdr:cNvGrpSpPr>
          <a:grpSpLocks/>
        </xdr:cNvGrpSpPr>
      </xdr:nvGrpSpPr>
      <xdr:grpSpPr bwMode="auto">
        <a:xfrm rot="5022105">
          <a:off x="3975243" y="2582442"/>
          <a:ext cx="147458" cy="98062"/>
          <a:chOff x="12269933" y="1884219"/>
          <a:chExt cx="148768" cy="97327"/>
        </a:xfrm>
      </xdr:grpSpPr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5DE526FE-2A87-21D0-B3FB-A99D8499F87F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0F71913D-42B8-349C-24CA-9A0C23797465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6F1A837F-9468-3677-365B-7113A67F00F2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257175</xdr:colOff>
      <xdr:row>20</xdr:row>
      <xdr:rowOff>142875</xdr:rowOff>
    </xdr:from>
    <xdr:to>
      <xdr:col>11</xdr:col>
      <xdr:colOff>355237</xdr:colOff>
      <xdr:row>21</xdr:row>
      <xdr:rowOff>133451</xdr:rowOff>
    </xdr:to>
    <xdr:grpSp>
      <xdr:nvGrpSpPr>
        <xdr:cNvPr id="216" name="Group 18">
          <a:extLst>
            <a:ext uri="{FF2B5EF4-FFF2-40B4-BE49-F238E27FC236}">
              <a16:creationId xmlns:a16="http://schemas.microsoft.com/office/drawing/2014/main" id="{BC5B8055-B199-4B95-99DD-FEB46A968254}"/>
            </a:ext>
          </a:extLst>
        </xdr:cNvPr>
        <xdr:cNvGrpSpPr>
          <a:grpSpLocks/>
        </xdr:cNvGrpSpPr>
      </xdr:nvGrpSpPr>
      <xdr:grpSpPr bwMode="auto">
        <a:xfrm rot="5022105">
          <a:off x="3975242" y="3305220"/>
          <a:ext cx="147458" cy="98062"/>
          <a:chOff x="12269933" y="1884219"/>
          <a:chExt cx="148768" cy="97327"/>
        </a:xfrm>
      </xdr:grpSpPr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CB8968B9-ED83-F8D0-B337-640C3E98E574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5351147E-1D11-7A1F-747C-234B2AB3048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8DFB1DEC-E452-3A7E-25EA-791A07F08EAA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266700</xdr:colOff>
      <xdr:row>26</xdr:row>
      <xdr:rowOff>76200</xdr:rowOff>
    </xdr:from>
    <xdr:to>
      <xdr:col>11</xdr:col>
      <xdr:colOff>364762</xdr:colOff>
      <xdr:row>27</xdr:row>
      <xdr:rowOff>66776</xdr:rowOff>
    </xdr:to>
    <xdr:grpSp>
      <xdr:nvGrpSpPr>
        <xdr:cNvPr id="220" name="Group 18">
          <a:extLst>
            <a:ext uri="{FF2B5EF4-FFF2-40B4-BE49-F238E27FC236}">
              <a16:creationId xmlns:a16="http://schemas.microsoft.com/office/drawing/2014/main" id="{8885120D-5164-426A-AFDD-8AFAAB12439B}"/>
            </a:ext>
          </a:extLst>
        </xdr:cNvPr>
        <xdr:cNvGrpSpPr>
          <a:grpSpLocks/>
        </xdr:cNvGrpSpPr>
      </xdr:nvGrpSpPr>
      <xdr:grpSpPr bwMode="auto">
        <a:xfrm rot="5022105">
          <a:off x="3984766" y="4179840"/>
          <a:ext cx="147459" cy="98062"/>
          <a:chOff x="12269933" y="1884219"/>
          <a:chExt cx="148768" cy="97327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0D29A73-0BC2-957A-8113-206A8EE172F7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413E3498-3367-03FC-3BAF-D834B05E64DD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77039C8E-49ED-12D6-E318-7F74AC39BC42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266700</xdr:colOff>
      <xdr:row>31</xdr:row>
      <xdr:rowOff>104775</xdr:rowOff>
    </xdr:from>
    <xdr:to>
      <xdr:col>11</xdr:col>
      <xdr:colOff>364762</xdr:colOff>
      <xdr:row>32</xdr:row>
      <xdr:rowOff>95351</xdr:rowOff>
    </xdr:to>
    <xdr:grpSp>
      <xdr:nvGrpSpPr>
        <xdr:cNvPr id="224" name="Group 18">
          <a:extLst>
            <a:ext uri="{FF2B5EF4-FFF2-40B4-BE49-F238E27FC236}">
              <a16:creationId xmlns:a16="http://schemas.microsoft.com/office/drawing/2014/main" id="{281E1758-EB36-4CD0-AF8D-0AE35DCC430F}"/>
            </a:ext>
          </a:extLst>
        </xdr:cNvPr>
        <xdr:cNvGrpSpPr>
          <a:grpSpLocks/>
        </xdr:cNvGrpSpPr>
      </xdr:nvGrpSpPr>
      <xdr:grpSpPr bwMode="auto">
        <a:xfrm rot="5022105">
          <a:off x="3984767" y="4981620"/>
          <a:ext cx="147458" cy="98062"/>
          <a:chOff x="12269933" y="1884219"/>
          <a:chExt cx="148768" cy="97327"/>
        </a:xfrm>
      </xdr:grpSpPr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7E6F9286-3218-F7A6-0330-E7105EB1D498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2BDE2D46-F648-BD13-503C-B0AEE4B47DD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24140A83-2CB3-846F-8DF0-58257626B6F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257174</xdr:colOff>
      <xdr:row>36</xdr:row>
      <xdr:rowOff>161924</xdr:rowOff>
    </xdr:from>
    <xdr:to>
      <xdr:col>11</xdr:col>
      <xdr:colOff>355236</xdr:colOff>
      <xdr:row>37</xdr:row>
      <xdr:rowOff>142975</xdr:rowOff>
    </xdr:to>
    <xdr:grpSp>
      <xdr:nvGrpSpPr>
        <xdr:cNvPr id="228" name="Group 18">
          <a:extLst>
            <a:ext uri="{FF2B5EF4-FFF2-40B4-BE49-F238E27FC236}">
              <a16:creationId xmlns:a16="http://schemas.microsoft.com/office/drawing/2014/main" id="{74592FAD-B040-482C-9BA9-CB7BE9383589}"/>
            </a:ext>
          </a:extLst>
        </xdr:cNvPr>
        <xdr:cNvGrpSpPr>
          <a:grpSpLocks/>
        </xdr:cNvGrpSpPr>
      </xdr:nvGrpSpPr>
      <xdr:grpSpPr bwMode="auto">
        <a:xfrm rot="5022105">
          <a:off x="3980003" y="5818419"/>
          <a:ext cx="137933" cy="98062"/>
          <a:chOff x="12269933" y="1884219"/>
          <a:chExt cx="148768" cy="97327"/>
        </a:xfrm>
      </xdr:grpSpPr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24261FCC-4D02-08C6-520D-B48BEEB5A54F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00B2A4DD-71E9-F720-1FCC-5C9B61986154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E8FC493F-D5F8-C4C9-9275-50E6ECDBCB4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114300</xdr:colOff>
      <xdr:row>20</xdr:row>
      <xdr:rowOff>123824</xdr:rowOff>
    </xdr:from>
    <xdr:to>
      <xdr:col>11</xdr:col>
      <xdr:colOff>212363</xdr:colOff>
      <xdr:row>21</xdr:row>
      <xdr:rowOff>111621</xdr:rowOff>
    </xdr:to>
    <xdr:grpSp>
      <xdr:nvGrpSpPr>
        <xdr:cNvPr id="232" name="Group 18">
          <a:extLst>
            <a:ext uri="{FF2B5EF4-FFF2-40B4-BE49-F238E27FC236}">
              <a16:creationId xmlns:a16="http://schemas.microsoft.com/office/drawing/2014/main" id="{042EEE7D-019D-4A1C-8F68-8929C395C591}"/>
            </a:ext>
          </a:extLst>
        </xdr:cNvPr>
        <xdr:cNvGrpSpPr>
          <a:grpSpLocks/>
        </xdr:cNvGrpSpPr>
      </xdr:nvGrpSpPr>
      <xdr:grpSpPr bwMode="auto">
        <a:xfrm rot="4840154">
          <a:off x="3833757" y="3284779"/>
          <a:ext cx="144679" cy="98063"/>
          <a:chOff x="12269933" y="1884219"/>
          <a:chExt cx="148768" cy="97327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BCC7798E-3F10-127D-AFBB-66FE8202F2E1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5773018D-FD56-F710-C151-4AD899EED54D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F19E12A1-E322-3BD7-07C4-326003F1421C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133351</xdr:colOff>
      <xdr:row>25</xdr:row>
      <xdr:rowOff>123827</xdr:rowOff>
    </xdr:from>
    <xdr:to>
      <xdr:col>11</xdr:col>
      <xdr:colOff>231414</xdr:colOff>
      <xdr:row>26</xdr:row>
      <xdr:rowOff>111624</xdr:rowOff>
    </xdr:to>
    <xdr:grpSp>
      <xdr:nvGrpSpPr>
        <xdr:cNvPr id="236" name="Group 18">
          <a:extLst>
            <a:ext uri="{FF2B5EF4-FFF2-40B4-BE49-F238E27FC236}">
              <a16:creationId xmlns:a16="http://schemas.microsoft.com/office/drawing/2014/main" id="{A1B88D66-6C04-46F9-9C30-4AC0A076ED80}"/>
            </a:ext>
          </a:extLst>
        </xdr:cNvPr>
        <xdr:cNvGrpSpPr>
          <a:grpSpLocks/>
        </xdr:cNvGrpSpPr>
      </xdr:nvGrpSpPr>
      <xdr:grpSpPr bwMode="auto">
        <a:xfrm rot="4840154">
          <a:off x="3852808" y="4069194"/>
          <a:ext cx="144679" cy="98063"/>
          <a:chOff x="12269933" y="1884219"/>
          <a:chExt cx="148768" cy="97327"/>
        </a:xfrm>
      </xdr:grpSpPr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C968DF35-E777-8C2B-4790-341BDEB56E1F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DC9159B6-F836-F70B-96A2-AFCDDFEAE94E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90723B7C-AE65-BE60-801C-0A7D2615A76B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123825</xdr:colOff>
      <xdr:row>31</xdr:row>
      <xdr:rowOff>66675</xdr:rowOff>
    </xdr:from>
    <xdr:to>
      <xdr:col>11</xdr:col>
      <xdr:colOff>221888</xdr:colOff>
      <xdr:row>32</xdr:row>
      <xdr:rowOff>54472</xdr:rowOff>
    </xdr:to>
    <xdr:grpSp>
      <xdr:nvGrpSpPr>
        <xdr:cNvPr id="240" name="Group 18">
          <a:extLst>
            <a:ext uri="{FF2B5EF4-FFF2-40B4-BE49-F238E27FC236}">
              <a16:creationId xmlns:a16="http://schemas.microsoft.com/office/drawing/2014/main" id="{A4CB31EF-6BE8-4CD9-8990-E19C9C720170}"/>
            </a:ext>
          </a:extLst>
        </xdr:cNvPr>
        <xdr:cNvGrpSpPr>
          <a:grpSpLocks/>
        </xdr:cNvGrpSpPr>
      </xdr:nvGrpSpPr>
      <xdr:grpSpPr bwMode="auto">
        <a:xfrm rot="4840154">
          <a:off x="3843282" y="4942130"/>
          <a:ext cx="144679" cy="98063"/>
          <a:chOff x="12269933" y="1884219"/>
          <a:chExt cx="148768" cy="97327"/>
        </a:xfrm>
      </xdr:grpSpPr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F5CBD9E6-E76A-493C-2EF4-941F8B012EB2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A1949E2D-26AA-BF5A-4724-EF1A7C9649A9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484C5EFF-A775-9431-4B43-06AA9D35F244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123825</xdr:colOff>
      <xdr:row>37</xdr:row>
      <xdr:rowOff>85726</xdr:rowOff>
    </xdr:from>
    <xdr:to>
      <xdr:col>11</xdr:col>
      <xdr:colOff>221888</xdr:colOff>
      <xdr:row>38</xdr:row>
      <xdr:rowOff>63998</xdr:rowOff>
    </xdr:to>
    <xdr:grpSp>
      <xdr:nvGrpSpPr>
        <xdr:cNvPr id="248" name="Group 18">
          <a:extLst>
            <a:ext uri="{FF2B5EF4-FFF2-40B4-BE49-F238E27FC236}">
              <a16:creationId xmlns:a16="http://schemas.microsoft.com/office/drawing/2014/main" id="{6E1C1134-7735-4241-BDD9-B58F3CD8AE34}"/>
            </a:ext>
          </a:extLst>
        </xdr:cNvPr>
        <xdr:cNvGrpSpPr>
          <a:grpSpLocks/>
        </xdr:cNvGrpSpPr>
      </xdr:nvGrpSpPr>
      <xdr:grpSpPr bwMode="auto">
        <a:xfrm rot="4840154">
          <a:off x="3848044" y="5897713"/>
          <a:ext cx="135155" cy="98063"/>
          <a:chOff x="12269933" y="1884219"/>
          <a:chExt cx="148768" cy="97327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F06BE247-EAE1-5025-B1F7-E3A12DBCBCBF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7D0511DD-5C7F-46D9-B8CE-DFB3F18271BE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1F1BFFCE-CA4A-4F7F-D530-F2C9890592C4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104775</xdr:colOff>
      <xdr:row>14</xdr:row>
      <xdr:rowOff>104775</xdr:rowOff>
    </xdr:from>
    <xdr:to>
      <xdr:col>11</xdr:col>
      <xdr:colOff>266700</xdr:colOff>
      <xdr:row>17</xdr:row>
      <xdr:rowOff>19427</xdr:rowOff>
    </xdr:to>
    <xdr:grpSp>
      <xdr:nvGrpSpPr>
        <xdr:cNvPr id="320" name="Group 319">
          <a:extLst>
            <a:ext uri="{FF2B5EF4-FFF2-40B4-BE49-F238E27FC236}">
              <a16:creationId xmlns:a16="http://schemas.microsoft.com/office/drawing/2014/main" id="{EC5087F9-E9AB-66C0-03A2-D5551A4FF858}"/>
            </a:ext>
          </a:extLst>
        </xdr:cNvPr>
        <xdr:cNvGrpSpPr/>
      </xdr:nvGrpSpPr>
      <xdr:grpSpPr>
        <a:xfrm>
          <a:off x="3847540" y="2301128"/>
          <a:ext cx="161925" cy="385299"/>
          <a:chOff x="4876800" y="2686050"/>
          <a:chExt cx="228600" cy="276602"/>
        </a:xfrm>
      </xdr:grpSpPr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BEF21720-D7CF-403D-81BC-53EC2D425F25}"/>
              </a:ext>
            </a:extLst>
          </xdr:cNvPr>
          <xdr:cNvCxnSpPr/>
        </xdr:nvCxnSpPr>
        <xdr:spPr>
          <a:xfrm flipV="1">
            <a:off x="4876800" y="2686050"/>
            <a:ext cx="209550" cy="257552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C09F1166-6DCE-4B39-8C00-FFD5C327CD3F}"/>
              </a:ext>
            </a:extLst>
          </xdr:cNvPr>
          <xdr:cNvCxnSpPr/>
        </xdr:nvCxnSpPr>
        <xdr:spPr>
          <a:xfrm flipH="1" flipV="1">
            <a:off x="4895850" y="2733675"/>
            <a:ext cx="209550" cy="22897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95250</xdr:colOff>
      <xdr:row>20</xdr:row>
      <xdr:rowOff>19050</xdr:rowOff>
    </xdr:from>
    <xdr:to>
      <xdr:col>11</xdr:col>
      <xdr:colOff>257175</xdr:colOff>
      <xdr:row>22</xdr:row>
      <xdr:rowOff>86102</xdr:rowOff>
    </xdr:to>
    <xdr:grpSp>
      <xdr:nvGrpSpPr>
        <xdr:cNvPr id="321" name="Group 320">
          <a:extLst>
            <a:ext uri="{FF2B5EF4-FFF2-40B4-BE49-F238E27FC236}">
              <a16:creationId xmlns:a16="http://schemas.microsoft.com/office/drawing/2014/main" id="{A19D42CD-6B29-4573-9168-DD20F6C76150}"/>
            </a:ext>
          </a:extLst>
        </xdr:cNvPr>
        <xdr:cNvGrpSpPr/>
      </xdr:nvGrpSpPr>
      <xdr:grpSpPr>
        <a:xfrm>
          <a:off x="3838015" y="3156697"/>
          <a:ext cx="161925" cy="380817"/>
          <a:chOff x="4876800" y="2686050"/>
          <a:chExt cx="228600" cy="276602"/>
        </a:xfrm>
      </xdr:grpSpPr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E7D547DD-A44A-2014-4029-D6504C9EF495}"/>
              </a:ext>
            </a:extLst>
          </xdr:cNvPr>
          <xdr:cNvCxnSpPr/>
        </xdr:nvCxnSpPr>
        <xdr:spPr>
          <a:xfrm flipV="1">
            <a:off x="4876800" y="2686050"/>
            <a:ext cx="209550" cy="257552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322">
            <a:extLst>
              <a:ext uri="{FF2B5EF4-FFF2-40B4-BE49-F238E27FC236}">
                <a16:creationId xmlns:a16="http://schemas.microsoft.com/office/drawing/2014/main" id="{E8DAF5CA-921E-AF67-D33B-22062347E5E7}"/>
              </a:ext>
            </a:extLst>
          </xdr:cNvPr>
          <xdr:cNvCxnSpPr/>
        </xdr:nvCxnSpPr>
        <xdr:spPr>
          <a:xfrm flipH="1" flipV="1">
            <a:off x="4895850" y="2733675"/>
            <a:ext cx="209550" cy="22897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85725</xdr:colOff>
      <xdr:row>25</xdr:row>
      <xdr:rowOff>76200</xdr:rowOff>
    </xdr:from>
    <xdr:to>
      <xdr:col>11</xdr:col>
      <xdr:colOff>247650</xdr:colOff>
      <xdr:row>27</xdr:row>
      <xdr:rowOff>143252</xdr:rowOff>
    </xdr:to>
    <xdr:grpSp>
      <xdr:nvGrpSpPr>
        <xdr:cNvPr id="324" name="Group 323">
          <a:extLst>
            <a:ext uri="{FF2B5EF4-FFF2-40B4-BE49-F238E27FC236}">
              <a16:creationId xmlns:a16="http://schemas.microsoft.com/office/drawing/2014/main" id="{6ED41522-B22C-414C-ABDB-B207722FE5D0}"/>
            </a:ext>
          </a:extLst>
        </xdr:cNvPr>
        <xdr:cNvGrpSpPr/>
      </xdr:nvGrpSpPr>
      <xdr:grpSpPr>
        <a:xfrm>
          <a:off x="3828490" y="3998259"/>
          <a:ext cx="161925" cy="380817"/>
          <a:chOff x="4876800" y="2686050"/>
          <a:chExt cx="228600" cy="276602"/>
        </a:xfrm>
      </xdr:grpSpPr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64C7DC5A-71B6-6ED0-2289-75BDA94AE809}"/>
              </a:ext>
            </a:extLst>
          </xdr:cNvPr>
          <xdr:cNvCxnSpPr/>
        </xdr:nvCxnSpPr>
        <xdr:spPr>
          <a:xfrm flipV="1">
            <a:off x="4876800" y="2686050"/>
            <a:ext cx="209550" cy="257552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270C5271-4975-0A11-5D8B-846BB890D439}"/>
              </a:ext>
            </a:extLst>
          </xdr:cNvPr>
          <xdr:cNvCxnSpPr/>
        </xdr:nvCxnSpPr>
        <xdr:spPr>
          <a:xfrm flipH="1" flipV="1">
            <a:off x="4895850" y="2733675"/>
            <a:ext cx="209550" cy="22897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76200</xdr:colOff>
      <xdr:row>30</xdr:row>
      <xdr:rowOff>104775</xdr:rowOff>
    </xdr:from>
    <xdr:to>
      <xdr:col>11</xdr:col>
      <xdr:colOff>238125</xdr:colOff>
      <xdr:row>33</xdr:row>
      <xdr:rowOff>19427</xdr:rowOff>
    </xdr:to>
    <xdr:grpSp>
      <xdr:nvGrpSpPr>
        <xdr:cNvPr id="327" name="Group 326">
          <a:extLst>
            <a:ext uri="{FF2B5EF4-FFF2-40B4-BE49-F238E27FC236}">
              <a16:creationId xmlns:a16="http://schemas.microsoft.com/office/drawing/2014/main" id="{6D057AA6-C452-42E7-9759-846462B8DE01}"/>
            </a:ext>
          </a:extLst>
        </xdr:cNvPr>
        <xdr:cNvGrpSpPr/>
      </xdr:nvGrpSpPr>
      <xdr:grpSpPr>
        <a:xfrm>
          <a:off x="3818965" y="4800040"/>
          <a:ext cx="161925" cy="385299"/>
          <a:chOff x="4876800" y="2686050"/>
          <a:chExt cx="228600" cy="276602"/>
        </a:xfrm>
      </xdr:grpSpPr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ACBE2CED-AF93-C849-5A3D-0A2F6F410DDF}"/>
              </a:ext>
            </a:extLst>
          </xdr:cNvPr>
          <xdr:cNvCxnSpPr/>
        </xdr:nvCxnSpPr>
        <xdr:spPr>
          <a:xfrm flipV="1">
            <a:off x="4876800" y="2686050"/>
            <a:ext cx="209550" cy="257552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328">
            <a:extLst>
              <a:ext uri="{FF2B5EF4-FFF2-40B4-BE49-F238E27FC236}">
                <a16:creationId xmlns:a16="http://schemas.microsoft.com/office/drawing/2014/main" id="{EB9C3D8A-477A-06D6-CE6E-1F2D5C6FD3D3}"/>
              </a:ext>
            </a:extLst>
          </xdr:cNvPr>
          <xdr:cNvCxnSpPr/>
        </xdr:nvCxnSpPr>
        <xdr:spPr>
          <a:xfrm flipH="1" flipV="1">
            <a:off x="4895850" y="2733675"/>
            <a:ext cx="209550" cy="22897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47625</xdr:colOff>
      <xdr:row>36</xdr:row>
      <xdr:rowOff>66675</xdr:rowOff>
    </xdr:from>
    <xdr:to>
      <xdr:col>11</xdr:col>
      <xdr:colOff>209550</xdr:colOff>
      <xdr:row>38</xdr:row>
      <xdr:rowOff>114677</xdr:rowOff>
    </xdr:to>
    <xdr:grpSp>
      <xdr:nvGrpSpPr>
        <xdr:cNvPr id="330" name="Group 329">
          <a:extLst>
            <a:ext uri="{FF2B5EF4-FFF2-40B4-BE49-F238E27FC236}">
              <a16:creationId xmlns:a16="http://schemas.microsoft.com/office/drawing/2014/main" id="{EE6BAE5E-AA8C-433D-ADD8-C6FFB9277970}"/>
            </a:ext>
          </a:extLst>
        </xdr:cNvPr>
        <xdr:cNvGrpSpPr/>
      </xdr:nvGrpSpPr>
      <xdr:grpSpPr>
        <a:xfrm>
          <a:off x="3790390" y="5703234"/>
          <a:ext cx="161925" cy="361767"/>
          <a:chOff x="4876800" y="2686050"/>
          <a:chExt cx="228600" cy="276602"/>
        </a:xfrm>
      </xdr:grpSpPr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45E71098-8298-2A1C-67A9-C6BCDC007EBB}"/>
              </a:ext>
            </a:extLst>
          </xdr:cNvPr>
          <xdr:cNvCxnSpPr/>
        </xdr:nvCxnSpPr>
        <xdr:spPr>
          <a:xfrm flipV="1">
            <a:off x="4876800" y="2686050"/>
            <a:ext cx="209550" cy="257552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654F492F-48D2-6E55-5864-D39212C1CFC6}"/>
              </a:ext>
            </a:extLst>
          </xdr:cNvPr>
          <xdr:cNvCxnSpPr/>
        </xdr:nvCxnSpPr>
        <xdr:spPr>
          <a:xfrm flipH="1" flipV="1">
            <a:off x="4895850" y="2733675"/>
            <a:ext cx="209550" cy="22897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276225</xdr:colOff>
      <xdr:row>22</xdr:row>
      <xdr:rowOff>9525</xdr:rowOff>
    </xdr:from>
    <xdr:to>
      <xdr:col>14</xdr:col>
      <xdr:colOff>352425</xdr:colOff>
      <xdr:row>23</xdr:row>
      <xdr:rowOff>57150</xdr:rowOff>
    </xdr:to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F93850AB-CF4D-4E94-8F94-EFD46606E697}"/>
            </a:ext>
          </a:extLst>
        </xdr:cNvPr>
        <xdr:cNvSpPr txBox="1"/>
      </xdr:nvSpPr>
      <xdr:spPr>
        <a:xfrm>
          <a:off x="4010025" y="3390900"/>
          <a:ext cx="121920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NFA2X 2 X 70 MM + N</a:t>
          </a:r>
        </a:p>
      </xdr:txBody>
    </xdr:sp>
    <xdr:clientData/>
  </xdr:twoCellAnchor>
  <xdr:twoCellAnchor>
    <xdr:from>
      <xdr:col>11</xdr:col>
      <xdr:colOff>313764</xdr:colOff>
      <xdr:row>39</xdr:row>
      <xdr:rowOff>44824</xdr:rowOff>
    </xdr:from>
    <xdr:to>
      <xdr:col>12</xdr:col>
      <xdr:colOff>112058</xdr:colOff>
      <xdr:row>40</xdr:row>
      <xdr:rowOff>67236</xdr:rowOff>
    </xdr:to>
    <xdr:sp macro="" textlink="">
      <xdr:nvSpPr>
        <xdr:cNvPr id="334" name="Isosceles Triangle 333">
          <a:extLst>
            <a:ext uri="{FF2B5EF4-FFF2-40B4-BE49-F238E27FC236}">
              <a16:creationId xmlns:a16="http://schemas.microsoft.com/office/drawing/2014/main" id="{DF1A0C1F-753B-4344-A294-4E26D7AF0F4C}"/>
            </a:ext>
          </a:extLst>
        </xdr:cNvPr>
        <xdr:cNvSpPr/>
      </xdr:nvSpPr>
      <xdr:spPr>
        <a:xfrm>
          <a:off x="4056529" y="6152030"/>
          <a:ext cx="179294" cy="179294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173183</xdr:colOff>
      <xdr:row>7</xdr:row>
      <xdr:rowOff>138546</xdr:rowOff>
    </xdr:from>
    <xdr:to>
      <xdr:col>17</xdr:col>
      <xdr:colOff>519545</xdr:colOff>
      <xdr:row>51</xdr:row>
      <xdr:rowOff>142709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B3A297-3FF0-9E91-5294-F84696A5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9910" y="1385455"/>
          <a:ext cx="7619999" cy="686216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322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30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SUMIFS(RAB!$F$14:$F$101,RAB!$C$14:$C$101,C714)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SUMIFS(RAB!$F$14:$F$101,RAB!$C$14:$C$101,C715)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SUMIFS(RAB!$F$14:$F$101,RAB!$C$14:$C$101,C716)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SUMIFS(RAB!$F$14:$F$101,RAB!$C$14:$C$101,C717)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SUMIFS(RAB!$F$14:$F$101,RAB!$C$14:$C$101,C718)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SUMIFS(RAB!$F$14:$F$101,RAB!$C$14:$C$101,C719)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SUMIFS(RAB!$F$14:$F$101,RAB!$C$14:$C$101,C720)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SUMIFS(RAB!$F$14:$F$101,RAB!$C$14:$C$101,C721)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SUMIFS(RAB!$F$14:$F$101,RAB!$C$14:$C$101,C722)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SUMIFS(RAB!$F$14:$F$101,RAB!$C$14:$C$101,C723)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SUMIFS(RAB!$F$14:$F$101,RAB!$C$14:$C$101,C724)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SUMIFS(RAB!$F$14:$F$101,RAB!$C$14:$C$101,C725)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SUMIFS(RAB!$F$14:$F$101,RAB!$C$14:$C$101,C726)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SUMIFS(RAB!$F$14:$F$101,RAB!$C$14:$C$101,C727)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SUMIFS(RAB!$F$14:$F$101,RAB!$C$14:$C$101,C728)</f>
        <v>1</v>
      </c>
      <c r="E728" s="26">
        <f t="shared" ca="1" si="33"/>
        <v>1</v>
      </c>
      <c r="F728" s="26">
        <f ca="1">IF(D728=0,0,SUM($E$713:E728))</f>
        <v>2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SUMIFS(RAB!$F$14:$F$101,RAB!$C$14:$C$101,C729)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SUMIFS(RAB!$F$14:$F$101,RAB!$C$14:$C$101,C730)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SUMIFS(RAB!$F$14:$F$101,RAB!$C$14:$C$101,C731)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SUMIFS(RAB!$F$14:$F$101,RAB!$C$14:$C$101,C732)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SUMIFS(RAB!$F$14:$F$101,RAB!$C$14:$C$101,C733)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SUMIFS(RAB!$F$14:$F$101,RAB!$C$14:$C$101,C734)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SUMIFS(RAB!$F$14:$F$101,RAB!$C$14:$C$101,C735)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SUMIFS(RAB!$F$14:$F$101,RAB!$C$14:$C$101,C736)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SUMIFS(RAB!$F$14:$F$101,RAB!$C$14:$C$101,C737)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SUMIFS(RAB!$F$14:$F$101,RAB!$C$14:$C$101,C738)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SUMIFS(RAB!$F$14:$F$101,RAB!$C$14:$C$101,C739)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SUMIFS(RAB!$F$14:$F$101,RAB!$C$14:$C$101,C740)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SUMIFS(RAB!$F$14:$F$101,RAB!$C$14:$C$101,C741)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SUMIFS(RAB!$F$14:$F$101,RAB!$C$14:$C$101,C742)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SUMIFS(RAB!$F$14:$F$101,RAB!$C$14:$C$101,C743)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SUMIFS(RAB!$F$14:$F$101,RAB!$C$14:$C$101,C744)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SUMIFS(RAB!$F$14:$F$101,RAB!$C$14:$C$101,C745)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SUMIFS(RAB!$F$14:$F$101,RAB!$C$14:$C$101,C746)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SUMIFS(RAB!$F$14:$F$101,RAB!$C$14:$C$101,C747)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SUMIFS(RAB!$F$14:$F$101,RAB!$C$14:$C$101,C748)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SUMIFS(RAB!$F$14:$F$101,RAB!$C$14:$C$101,C749)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SUMIFS(RAB!$F$14:$F$101,RAB!$C$14:$C$101,C750)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SUMIFS(RAB!$F$14:$F$101,RAB!$C$14:$C$101,C751)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SUMIFS(RAB!$F$14:$F$101,RAB!$C$14:$C$101,C752)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SUMIFS(RAB!$F$14:$F$101,RAB!$C$14:$C$101,C753)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SUMIFS(RAB!$F$14:$F$101,RAB!$C$14:$C$101,C754)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SUMIFS(RAB!$F$14:$F$101,RAB!$C$14:$C$101,C755)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SUMIFS(RAB!$F$14:$F$101,RAB!$C$14:$C$101,C756)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SUMIFS(RAB!$F$14:$F$101,RAB!$C$14:$C$101,C757)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SUMIFS(RAB!$F$14:$F$101,RAB!$C$14:$C$101,C758)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SUMIFS(RAB!$F$14:$F$101,RAB!$C$14:$C$101,C759)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SUMIFS(RAB!$F$14:$F$101,RAB!$C$14:$C$101,C760)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SUMIFS(RAB!$F$14:$F$101,RAB!$C$14:$C$101,C761)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SUMIFS(RAB!$F$14:$F$101,RAB!$C$14:$C$101,C762)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SUMIFS(RAB!$F$14:$F$101,RAB!$C$14:$C$101,C763)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SUMIFS(RAB!$F$14:$F$101,RAB!$C$14:$C$101,C764)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SUMIFS(RAB!$F$14:$F$101,RAB!$C$14:$C$101,C765)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SUMIFS(RAB!$F$14:$F$101,RAB!$C$14:$C$101,C766)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SUMIFS(RAB!$F$14:$F$101,RAB!$C$14:$C$101,C767)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SUMIFS(RAB!$F$14:$F$101,RAB!$C$14:$C$101,C768)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SUMIFS(RAB!$F$14:$F$101,RAB!$C$14:$C$101,C769)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SUMIFS(RAB!$F$14:$F$101,RAB!$C$14:$C$101,C770)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SUMIFS(RAB!$F$14:$F$101,RAB!$C$14:$C$101,C771)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SUMIFS(RAB!$F$14:$F$101,RAB!$C$14:$C$101,C772)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SUMIFS(RAB!$F$14:$F$101,RAB!$C$14:$C$101,C773)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SUMIFS(RAB!$F$14:$F$101,RAB!$C$14:$C$101,C774)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SUMIFS(RAB!$F$14:$F$101,RAB!$C$14:$C$101,C775)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SUMIFS(RAB!$F$14:$F$101,RAB!$C$14:$C$101,C776)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SUMIFS(RAB!$F$14:$F$101,RAB!$C$14:$C$101,C777)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SUMIFS(RAB!$F$14:$F$101,RAB!$C$14:$C$101,C778)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SUMIFS(RAB!$F$14:$F$101,RAB!$C$14:$C$101,C779)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SUMIFS(RAB!$F$14:$F$101,RAB!$C$14:$C$101,C780)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SUMIFS(RAB!$F$14:$F$101,RAB!$C$14:$C$101,C781)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SUMIFS(RAB!$F$14:$F$101,RAB!$C$14:$C$101,C782)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SUMIFS(RAB!$F$14:$F$101,RAB!$C$14:$C$101,C783)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SUMIFS(RAB!$F$14:$F$101,RAB!$C$14:$C$101,C784)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SUMIFS(RAB!$F$14:$F$101,RAB!$C$14:$C$101,C785)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SUMIFS(RAB!$F$14:$F$101,RAB!$C$14:$C$101,C786)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SUMIFS(RAB!$F$14:$F$101,RAB!$C$14:$C$101,C787)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SUMIFS(RAB!$F$14:$F$101,RAB!$C$14:$C$101,C788)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SUMIFS(RAB!$F$14:$F$101,RAB!$C$14:$C$101,C789)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SUMIFS(RAB!$F$14:$F$101,RAB!$C$14:$C$101,C790)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SUMIFS(RAB!$F$14:$F$101,RAB!$C$14:$C$101,C791)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SUMIFS(RAB!$F$14:$F$101,RAB!$C$14:$C$101,C792)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SUMIFS(RAB!$F$14:$F$101,RAB!$C$14:$C$101,C793)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SUMIFS(RAB!$F$14:$F$101,RAB!$C$14:$C$101,C794)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SUMIFS(RAB!$F$14:$F$101,RAB!$C$14:$C$101,C795)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SUMIFS(RAB!$F$14:$F$101,RAB!$C$14:$C$101,C796)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SUMIFS(RAB!$F$14:$F$101,RAB!$C$14:$C$101,C797)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SUMIFS(RAB!$F$14:$F$101,RAB!$C$14:$C$101,C798)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SUMIFS(RAB!$F$14:$F$101,RAB!$C$14:$C$101,C799)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SUMIFS(RAB!$F$14:$F$101,RAB!$C$14:$C$101,C800)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SUMIFS(RAB!$F$14:$F$101,RAB!$C$14:$C$101,C801)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SUMIFS(RAB!$F$14:$F$101,RAB!$C$14:$C$101,C802)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SUMIFS(RAB!$F$14:$F$101,RAB!$C$14:$C$101,C803)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SUMIFS(RAB!$F$14:$F$101,RAB!$C$14:$C$101,C804)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SUMIFS(RAB!$F$14:$F$101,RAB!$C$14:$C$101,C805)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SUMIFS(RAB!$F$14:$F$101,RAB!$C$14:$C$101,C806)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SUMIFS(RAB!$F$14:$F$101,RAB!$C$14:$C$101,C807)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SUMIFS(RAB!$F$14:$F$101,RAB!$C$14:$C$101,C808)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SUMIFS(RAB!$F$14:$F$101,RAB!$C$14:$C$101,C809)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SUMIFS(RAB!$F$14:$F$101,RAB!$C$14:$C$101,C810)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SUMIFS(RAB!$F$14:$F$101,RAB!$C$14:$C$101,C811)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SUMIFS(RAB!$F$14:$F$101,RAB!$C$14:$C$101,C812)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SUMIFS(RAB!$F$14:$F$101,RAB!$C$14:$C$101,C813)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SUMIFS(RAB!$F$14:$F$101,RAB!$C$14:$C$101,C814)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SUMIFS(RAB!$F$14:$F$101,RAB!$C$14:$C$101,C815)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SUMIFS(RAB!$F$14:$F$101,RAB!$C$14:$C$101,C816)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SUMIFS(RAB!$F$14:$F$101,RAB!$C$14:$C$101,C817)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SUMIFS(RAB!$F$14:$F$101,RAB!$C$14:$C$101,C818)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SUMIFS(RAB!$F$14:$F$101,RAB!$C$14:$C$101,C819)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SUMIFS(RAB!$F$14:$F$101,RAB!$C$14:$C$101,C820)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SUMIFS(RAB!$F$14:$F$101,RAB!$C$14:$C$101,C821)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SUMIFS(RAB!$F$14:$F$101,RAB!$C$14:$C$101,C822)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SUMIFS(RAB!$F$14:$F$101,RAB!$C$14:$C$101,C823)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SUMIFS(RAB!$F$14:$F$101,RAB!$C$14:$C$101,C824)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SUMIFS(RAB!$F$14:$F$101,RAB!$C$14:$C$101,C825)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SUMIFS(RAB!$F$14:$F$101,RAB!$C$14:$C$101,C826)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SUMIFS(RAB!$F$14:$F$101,RAB!$C$14:$C$101,C827)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SUMIFS(RAB!$F$14:$F$101,RAB!$C$14:$C$101,C828)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SUMIFS(RAB!$F$14:$F$101,RAB!$C$14:$C$101,C829)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SUMIFS(RAB!$F$14:$F$101,RAB!$C$14:$C$101,C830)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SUMIFS(RAB!$F$14:$F$101,RAB!$C$14:$C$101,C831)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SUMIFS(RAB!$F$14:$F$101,RAB!$C$14:$C$101,C832)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SUMIFS(RAB!$F$14:$F$101,RAB!$C$14:$C$101,C833)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SUMIFS(RAB!$F$14:$F$101,RAB!$C$14:$C$101,C834)</f>
        <v>322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SUMIFS(RAB!$F$14:$F$101,RAB!$C$14:$C$101,C835)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SUMIFS(RAB!$F$14:$F$101,RAB!$C$14:$C$101,C836)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SUMIFS(RAB!$F$14:$F$101,RAB!$C$14:$C$101,C837)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SUMIFS(RAB!$F$14:$F$101,RAB!$C$14:$C$101,C838)</f>
        <v>30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SUMIFS(RAB!$F$14:$F$101,RAB!$C$14:$C$101,C839)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SUMIFS(RAB!$F$14:$F$101,RAB!$C$14:$C$101,C840)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SUMIFS(RAB!$F$14:$F$101,RAB!$C$14:$C$101,C841)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SUMIFS(RAB!$F$14:$F$101,RAB!$C$14:$C$101,C842)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SUMIFS(RAB!$F$14:$F$101,RAB!$C$14:$C$101,C843)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SUMIFS(RAB!$F$14:$F$101,RAB!$C$14:$C$101,C844)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SUMIFS(RAB!$F$14:$F$101,RAB!$C$14:$C$101,C845)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SUMIFS(RAB!$F$14:$F$101,RAB!$C$14:$C$101,C846)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SUMIFS(RAB!$F$14:$F$101,RAB!$C$14:$C$101,C847)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SUMIFS(RAB!$F$14:$F$101,RAB!$C$14:$C$101,C848)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SUMIFS(RAB!$F$14:$F$101,RAB!$C$14:$C$101,C849)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SUMIFS(RAB!$F$14:$F$101,RAB!$C$14:$C$101,C850)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SUMIFS(RAB!$F$14:$F$101,RAB!$C$14:$C$101,C851)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SUMIFS(RAB!$F$14:$F$101,RAB!$C$14:$C$101,C852)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SUMIFS(RAB!$F$14:$F$101,RAB!$C$14:$C$101,C853)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SUMIFS(RAB!$F$14:$F$101,RAB!$C$14:$C$101,C854)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SUMIFS(RAB!$F$14:$F$101,RAB!$C$14:$C$101,C855)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SUMIFS(RAB!$F$14:$F$101,RAB!$C$14:$C$101,C856)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SUMIFS(RAB!$F$14:$F$101,RAB!$C$14:$C$101,C857)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SUMIFS(RAB!$F$14:$F$101,RAB!$C$14:$C$101,C858)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SUMIFS(RAB!$F$14:$F$101,RAB!$C$14:$C$101,C859)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SUMIFS(RAB!$F$14:$F$101,RAB!$C$14:$C$101,C860)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SUMIFS(RAB!$F$14:$F$101,RAB!$C$14:$C$101,C861)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SUMIFS(RAB!$F$14:$F$101,RAB!$C$14:$C$101,C862)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SUMIFS(RAB!$F$14:$F$101,RAB!$C$14:$C$101,C863)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SUMIFS(RAB!$F$14:$F$101,RAB!$C$14:$C$101,C864)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SUMIFS(RAB!$F$14:$F$101,RAB!$C$14:$C$101,C865)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SUMIFS(RAB!$F$14:$F$101,RAB!$C$14:$C$101,C866)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SUMIFS(RAB!$F$14:$F$101,RAB!$C$14:$C$101,C867)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SUMIFS(RAB!$F$14:$F$101,RAB!$C$14:$C$101,C868)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SUMIFS(RAB!$F$14:$F$101,RAB!$C$14:$C$101,C869)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SUMIFS(RAB!$F$14:$F$101,RAB!$C$14:$C$101,C870)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SUMIFS(RAB!$F$14:$F$101,RAB!$C$14:$C$101,C871)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SUMIFS(RAB!$F$14:$F$101,RAB!$C$14:$C$101,C872)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SUMIFS(RAB!$F$14:$F$101,RAB!$C$14:$C$101,C873)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SUMIFS(RAB!$F$14:$F$101,RAB!$C$14:$C$101,C874)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SUMIFS(RAB!$F$14:$F$101,RAB!$C$14:$C$101,C875)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SUMIFS(RAB!$F$14:$F$101,RAB!$C$14:$C$101,C876)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SUMIFS(RAB!$F$14:$F$101,RAB!$C$14:$C$101,C877)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SUMIFS(RAB!$F$14:$F$101,RAB!$C$14:$C$101,C878)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SUMIFS(RAB!$F$14:$F$101,RAB!$C$14:$C$101,C879)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SUMIFS(RAB!$F$14:$F$101,RAB!$C$14:$C$101,C880)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SUMIFS(RAB!$F$14:$F$101,RAB!$C$14:$C$101,C881)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SUMIFS(RAB!$F$14:$F$101,RAB!$C$14:$C$101,C882)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SUMIFS(RAB!$F$14:$F$101,RAB!$C$14:$C$101,C883)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SUMIFS(RAB!$F$14:$F$101,RAB!$C$14:$C$101,C884)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SUMIFS(RAB!$F$14:$F$101,RAB!$C$14:$C$101,C885)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SUMIFS(RAB!$F$14:$F$101,RAB!$C$14:$C$101,C886)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SUMIFS(RAB!$F$14:$F$101,RAB!$C$14:$C$101,C887)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SUMIFS(RAB!$F$14:$F$101,RAB!$C$14:$C$101,C888)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SUMIFS(RAB!$F$14:$F$101,RAB!$C$14:$C$101,C889)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SUMIFS(RAB!$F$14:$F$101,RAB!$C$14:$C$101,C890)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SUMIFS(RAB!$F$14:$F$101,RAB!$C$14:$C$101,C891)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SUMIFS(RAB!$F$14:$F$101,RAB!$C$14:$C$101,C892)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SUMIFS(RAB!$F$14:$F$101,RAB!$C$14:$C$101,C893)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SUMIFS(RAB!$F$14:$F$101,RAB!$C$14:$C$101,C894)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SUMIFS(RAB!$F$14:$F$101,RAB!$C$14:$C$101,C895)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SUMIFS(RAB!$F$14:$F$101,RAB!$C$14:$C$101,C896)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SUMIFS(RAB!$F$14:$F$101,RAB!$C$14:$C$101,C897)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SUMIFS(RAB!$F$14:$F$101,RAB!$C$14:$C$101,C898)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SUMIFS(RAB!$F$14:$F$101,RAB!$C$14:$C$101,C899)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SUMIFS(RAB!$F$14:$F$101,RAB!$C$14:$C$101,C900)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SUMIFS(RAB!$F$14:$F$101,RAB!$C$14:$C$101,C901)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SUMIFS(RAB!$F$14:$F$101,RAB!$C$14:$C$101,C902)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SUMIFS(RAB!$F$14:$F$101,RAB!$C$14:$C$101,C903)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SUMIFS(RAB!$F$14:$F$101,RAB!$C$14:$C$101,C904)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SUMIFS(RAB!$F$14:$F$101,RAB!$C$14:$C$101,C905)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SUMIFS(RAB!$F$14:$F$101,RAB!$C$14:$C$101,C906)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SUMIFS(RAB!$F$14:$F$101,RAB!$C$14:$C$101,C907)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SUMIFS(RAB!$F$14:$F$101,RAB!$C$14:$C$101,C908)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SUMIFS(RAB!$F$14:$F$101,RAB!$C$14:$C$101,C909)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SUMIFS(RAB!$F$14:$F$101,RAB!$C$14:$C$101,C910)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SUMIFS(RAB!$F$14:$F$101,RAB!$C$14:$C$101,C911)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SUMIFS(RAB!$F$14:$F$101,RAB!$C$14:$C$101,C912)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SUMIFS(RAB!$F$14:$F$101,RAB!$C$14:$C$101,C913)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SUMIFS(RAB!$F$14:$F$101,RAB!$C$14:$C$101,C914)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SUMIFS(RAB!$F$14:$F$101,RAB!$C$14:$C$101,C915)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SUMIFS(RAB!$F$14:$F$101,RAB!$C$14:$C$101,C916)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SUMIFS(RAB!$F$14:$F$101,RAB!$C$14:$C$101,C917)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SUMIFS(RAB!$F$14:$F$101,RAB!$C$14:$C$101,C918)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SUMIFS(RAB!$F$14:$F$101,RAB!$C$14:$C$101,C919)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SUMIFS(RAB!$F$14:$F$101,RAB!$C$14:$C$101,C920)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SUMIFS(RAB!$F$14:$F$101,RAB!$C$14:$C$101,C921)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SUMIFS(RAB!$F$14:$F$101,RAB!$C$14:$C$101,C922)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SUMIFS(RAB!$F$14:$F$101,RAB!$C$14:$C$101,C923)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SUMIFS(RAB!$F$14:$F$101,RAB!$C$14:$C$101,C924)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SUMIFS(RAB!$F$14:$F$101,RAB!$C$14:$C$101,C925)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SUMIFS(RAB!$F$14:$F$101,RAB!$C$14:$C$101,C926)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SUMIFS(RAB!$F$14:$F$101,RAB!$C$14:$C$101,C927)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SUMIFS(RAB!$F$14:$F$101,RAB!$C$14:$C$101,C928)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SUMIFS(RAB!$F$14:$F$101,RAB!$C$14:$C$101,C929)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SUMIFS(RAB!$F$14:$F$101,RAB!$C$14:$C$101,C930)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SUMIFS(RAB!$F$14:$F$101,RAB!$C$14:$C$101,C931)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SUMIFS(RAB!$F$14:$F$101,RAB!$C$14:$C$101,C932)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SUMIFS(RAB!$F$14:$F$101,RAB!$C$14:$C$101,C933)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SUMIFS(RAB!$F$14:$F$101,RAB!$C$14:$C$101,C934)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SUMIFS(RAB!$F$14:$F$101,RAB!$C$14:$C$101,C935)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SUMIFS(RAB!$F$14:$F$101,RAB!$C$14:$C$101,C936)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SUMIFS(RAB!$F$14:$F$101,RAB!$C$14:$C$101,C937)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SUMIFS(RAB!$F$14:$F$101,RAB!$C$14:$C$101,C938)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SUMIFS(RAB!$F$14:$F$101,RAB!$C$14:$C$101,C939)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SUMIFS(RAB!$F$14:$F$101,RAB!$C$14:$C$101,C940)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SUMIFS(RAB!$F$14:$F$101,RAB!$C$14:$C$101,C941)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SUMIFS(RAB!$F$14:$F$101,RAB!$C$14:$C$101,C942)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SUMIFS(RAB!$F$14:$F$101,RAB!$C$14:$C$101,C943)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SUMIFS(RAB!$F$14:$F$101,RAB!$C$14:$C$101,C944)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SUMIFS(RAB!$F$14:$F$101,RAB!$C$14:$C$101,C945)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SUMIFS(RAB!$F$14:$F$101,RAB!$C$14:$C$101,C946)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SUMIFS(RAB!$F$14:$F$101,RAB!$C$14:$C$101,C947)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SUMIFS(RAB!$F$14:$F$101,RAB!$C$14:$C$101,C948)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SUMIFS(RAB!$F$14:$F$101,RAB!$C$14:$C$101,C949)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SUMIFS(RAB!$F$14:$F$101,RAB!$C$14:$C$101,C950)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SUMIFS(RAB!$F$14:$F$101,RAB!$C$14:$C$101,C951)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SUMIFS(RAB!$F$14:$F$101,RAB!$C$14:$C$101,C952)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SUMIFS(RAB!$F$14:$F$101,RAB!$C$14:$C$101,C953)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SUMIFS(RAB!$F$14:$F$101,RAB!$C$14:$C$101,C954)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SUMIFS(RAB!$F$14:$F$101,RAB!$C$14:$C$101,C955)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SUMIFS(RAB!$F$14:$F$101,RAB!$C$14:$C$101,C956)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SUMIFS(RAB!$F$14:$F$101,RAB!$C$14:$C$101,C957)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SUMIFS(RAB!$F$14:$F$101,RAB!$C$14:$C$101,C958)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SUMIFS(RAB!$F$14:$F$101,RAB!$C$14:$C$101,C959)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SUMIFS(RAB!$F$14:$F$101,RAB!$C$14:$C$101,C960)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SUMIFS(RAB!$F$14:$F$101,RAB!$C$14:$C$101,C961)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SUMIFS(RAB!$F$14:$F$101,RAB!$C$14:$C$101,C962)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SUMIFS(RAB!$F$14:$F$101,RAB!$C$14:$C$101,C963)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SUMIFS(RAB!$F$14:$F$101,RAB!$C$14:$C$101,C964)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SUMIFS(RAB!$F$14:$F$101,RAB!$C$14:$C$101,C965)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SUMIFS(RAB!$F$14:$F$101,RAB!$C$14:$C$101,C966)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SUMIFS(RAB!$F$14:$F$101,RAB!$C$14:$C$101,C967)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SUMIFS(RAB!$F$14:$F$101,RAB!$C$14:$C$101,C968)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SUMIFS(RAB!$F$14:$F$101,RAB!$C$14:$C$101,C969)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SUMIFS(RAB!$F$14:$F$101,RAB!$C$14:$C$101,C970)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SUMIFS(RAB!$F$14:$F$101,RAB!$C$14:$C$101,C971)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SUMIFS(RAB!$F$14:$F$101,RAB!$C$14:$C$101,C972)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SUMIFS(RAB!$F$14:$F$101,RAB!$C$14:$C$101,C973)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SUMIFS(RAB!$F$14:$F$101,RAB!$C$14:$C$101,C974)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SUMIFS(RAB!$F$14:$F$101,RAB!$C$14:$C$101,C975)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SUMIFS(RAB!$F$14:$F$101,RAB!$C$14:$C$101,C976)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SUMIFS(RAB!$F$14:$F$101,RAB!$C$14:$C$101,C977)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SUMIFS(RAB!$F$14:$F$101,RAB!$C$14:$C$101,C978)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SUMIFS(RAB!$F$14:$F$101,RAB!$C$14:$C$101,C979)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SUMIFS(RAB!$F$14:$F$101,RAB!$C$14:$C$101,C980)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SUMIFS(RAB!$F$14:$F$101,RAB!$C$14:$C$101,C981)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SUMIFS(RAB!$F$14:$F$101,RAB!$C$14:$C$101,C982)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SUMIFS(RAB!$F$14:$F$101,RAB!$C$14:$C$101,C983)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SUMIFS(RAB!$F$14:$F$101,RAB!$C$14:$C$101,C984)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SUMIFS(RAB!$F$14:$F$101,RAB!$C$14:$C$101,C985)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SUMIFS(RAB!$F$14:$F$101,RAB!$C$14:$C$101,C986)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SUMIFS(RAB!$F$14:$F$101,RAB!$C$14:$C$101,C987)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SUMIFS(RAB!$F$14:$F$101,RAB!$C$14:$C$101,C988)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SUMIFS(RAB!$F$14:$F$101,RAB!$C$14:$C$101,C989)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SUMIFS(RAB!$F$14:$F$101,RAB!$C$14:$C$101,C990)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SUMIFS(RAB!$F$14:$F$101,RAB!$C$14:$C$101,C991)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SUMIFS(RAB!$F$14:$F$101,RAB!$C$14:$C$101,C992)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SUMIFS(RAB!$F$14:$F$101,RAB!$C$14:$C$101,C993)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SUMIFS(RAB!$F$14:$F$101,RAB!$C$14:$C$101,C994)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SUMIFS(RAB!$F$14:$F$101,RAB!$C$14:$C$101,C995)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SUMIFS(RAB!$F$14:$F$101,RAB!$C$14:$C$101,C996)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SUMIFS(RAB!$F$14:$F$101,RAB!$C$14:$C$101,C997)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SUMIFS(RAB!$F$14:$F$101,RAB!$C$14:$C$101,C998)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SUMIFS(RAB!$F$14:$F$101,RAB!$C$14:$C$101,C999)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SUMIFS(RAB!$F$14:$F$101,RAB!$C$14:$C$101,C1000)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SUMIFS(RAB!$F$14:$F$101,RAB!$C$14:$C$101,C1001)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SUMIFS(RAB!$F$14:$F$101,RAB!$C$14:$C$101,C1002)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SUMIFS(RAB!$F$14:$F$101,RAB!$C$14:$C$101,C1003)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SUMIFS(RAB!$F$14:$F$101,RAB!$C$14:$C$101,C1004)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SUMIFS(RAB!$F$14:$F$101,RAB!$C$14:$C$101,C1005)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SUMIFS(RAB!$F$14:$F$101,RAB!$C$14:$C$101,C1006)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SUMIFS(RAB!$F$14:$F$101,RAB!$C$14:$C$101,C1007)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SUMIFS(RAB!$F$14:$F$101,RAB!$C$14:$C$101,C1008)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SUMIFS(RAB!$F$14:$F$101,RAB!$C$14:$C$101,C1009)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SUMIFS(RAB!$F$14:$F$101,RAB!$C$14:$C$101,C1010)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SUMIFS(RAB!$F$14:$F$101,RAB!$C$14:$C$101,C1011)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SUMIFS(RAB!$F$14:$F$101,RAB!$C$14:$C$101,C1012)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SUMIFS(RAB!$F$14:$F$101,RAB!$C$14:$C$101,C1013)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SUMIFS(RAB!$F$14:$F$101,RAB!$C$14:$C$101,C1014)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SUMIFS(RAB!$F$14:$F$101,RAB!$C$14:$C$101,C1015)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SUMIFS(RAB!$F$14:$F$101,RAB!$C$14:$C$101,C1016)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SUMIFS(RAB!$F$14:$F$101,RAB!$C$14:$C$101,C1017)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SUMIFS(RAB!$F$14:$F$101,RAB!$C$14:$C$101,C1018)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SUMIFS(RAB!$F$14:$F$101,RAB!$C$14:$C$101,C1019)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SUMIFS(RAB!$F$14:$F$101,RAB!$C$14:$C$101,C1020)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SUMIFS(RAB!$F$14:$F$101,RAB!$C$14:$C$101,C1021)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SUMIFS(RAB!$F$14:$F$101,RAB!$C$14:$C$101,C1022)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SUMIFS(RAB!$F$14:$F$101,RAB!$C$14:$C$101,C1023)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SUMIFS(RAB!$F$14:$F$101,RAB!$C$14:$C$101,C1024)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SUMIFS(RAB!$F$14:$F$101,RAB!$C$14:$C$101,C1025)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SUMIFS(RAB!$F$14:$F$101,RAB!$C$14:$C$101,C1026)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SUMIFS(RAB!$F$14:$F$101,RAB!$C$14:$C$101,C1027)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SUMIFS(RAB!$F$14:$F$101,RAB!$C$14:$C$101,C1028)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SUMIFS(RAB!$F$14:$F$101,RAB!$C$14:$C$101,C1029)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SUMIFS(RAB!$F$14:$F$101,RAB!$C$14:$C$101,C1030)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SUMIFS(RAB!$F$14:$F$101,RAB!$C$14:$C$101,C1031)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SUMIFS(RAB!$F$14:$F$101,RAB!$C$14:$C$101,C1032)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SUMIFS(RAB!$F$14:$F$101,RAB!$C$14:$C$101,C1033)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SUMIFS(RAB!$F$14:$F$101,RAB!$C$14:$C$101,C1034)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SUMIFS(RAB!$F$14:$F$101,RAB!$C$14:$C$101,C1035)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SUMIFS(RAB!$F$14:$F$101,RAB!$C$14:$C$101,C1036)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SUMIFS(RAB!$F$14:$F$101,RAB!$C$14:$C$101,C1037)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SUMIFS(RAB!$F$14:$F$101,RAB!$C$14:$C$101,C1038)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SUMIFS(RAB!$F$14:$F$101,RAB!$C$14:$C$101,C1039)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SUMIFS(RAB!$F$14:$F$101,RAB!$C$14:$C$101,C1040)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SUMIFS(RAB!$F$14:$F$101,RAB!$C$14:$C$101,C1041)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SUMIFS(RAB!$F$14:$F$101,RAB!$C$14:$C$101,C1042)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SUMIFS(RAB!$F$14:$F$101,RAB!$C$14:$C$101,C1043)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SUMIFS(RAB!$F$14:$F$101,RAB!$C$14:$C$101,C1044)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SUMIFS(RAB!$F$14:$F$101,RAB!$C$14:$C$101,C1045)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SUMIFS(RAB!$F$14:$F$101,RAB!$C$14:$C$101,C1046)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SUMIFS(RAB!$F$14:$F$101,RAB!$C$14:$C$101,C1047)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SUMIFS(RAB!$F$14:$F$101,RAB!$C$14:$C$101,C1048)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SUMIFS(RAB!$F$14:$F$101,RAB!$C$14:$C$101,C1049)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SUMIFS(RAB!$F$14:$F$101,RAB!$C$14:$C$101,C1050)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SUMIFS(RAB!$F$14:$F$101,RAB!$C$14:$C$101,C1051)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SUMIFS(RAB!$F$14:$F$101,RAB!$C$14:$C$101,C1052)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SUMIFS(RAB!$F$14:$F$101,RAB!$C$14:$C$101,C1053)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SUMIFS(RAB!$F$14:$F$101,RAB!$C$14:$C$101,C1054)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SUMIFS(RAB!$F$14:$F$101,RAB!$C$14:$C$101,C1055)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SUMIFS(RAB!$F$14:$F$101,RAB!$C$14:$C$101,C1056)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SUMIFS(RAB!$F$14:$F$101,RAB!$C$14:$C$101,C1057)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SUMIFS(RAB!$F$14:$F$101,RAB!$C$14:$C$101,C1058)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SUMIFS(RAB!$F$14:$F$101,RAB!$C$14:$C$101,C1059)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SUMIFS(RAB!$F$14:$F$101,RAB!$C$14:$C$101,C1060)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SUMIFS(RAB!$F$14:$F$101,RAB!$C$14:$C$101,C1061)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SUMIFS(RAB!$F$14:$F$101,RAB!$C$14:$C$101,C1062)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SUMIFS(RAB!$F$14:$F$101,RAB!$C$14:$C$101,C1063)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SUMIFS(RAB!$F$14:$F$101,RAB!$C$14:$C$101,C1064)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SUMIFS(RAB!$F$14:$F$101,RAB!$C$14:$C$101,C1065)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SUMIFS(RAB!$F$14:$F$101,RAB!$C$14:$C$101,C1066)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SUMIFS(RAB!$F$14:$F$101,RAB!$C$14:$C$101,C1067)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SUMIFS(RAB!$F$14:$F$101,RAB!$C$14:$C$101,C1068)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SUMIFS(RAB!$F$14:$F$101,RAB!$C$14:$C$101,C1069)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SUMIFS(RAB!$F$14:$F$101,RAB!$C$14:$C$101,C1070)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SUMIFS(RAB!$F$14:$F$101,RAB!$C$14:$C$101,C1071)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SUMIFS(RAB!$F$14:$F$101,RAB!$C$14:$C$101,C1072)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SUMIFS(RAB!$F$14:$F$101,RAB!$C$14:$C$101,C1073)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SUMIFS(RAB!$F$14:$F$101,RAB!$C$14:$C$101,C1074)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SUMIFS(RAB!$F$14:$F$101,RAB!$C$14:$C$101,C1075)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SUMIFS(RAB!$F$14:$F$101,RAB!$C$14:$C$101,C1076)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SUMIFS(RAB!$F$14:$F$101,RAB!$C$14:$C$101,C1077)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SUMIFS(RAB!$F$14:$F$101,RAB!$C$14:$C$101,C1078)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SUMIFS(RAB!$F$14:$F$101,RAB!$C$14:$C$101,C1079)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SUMIFS(RAB!$F$14:$F$101,RAB!$C$14:$C$101,C1080)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SUMIFS(RAB!$F$14:$F$101,RAB!$C$14:$C$101,C1081)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SUMIFS(RAB!$F$14:$F$101,RAB!$C$14:$C$101,C1082)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SUMIFS(RAB!$F$14:$F$101,RAB!$C$14:$C$101,C1083)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SUMIFS(RAB!$F$14:$F$101,RAB!$C$14:$C$101,C1084)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SUMIFS(RAB!$F$14:$F$101,RAB!$C$14:$C$101,C1085)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SUMIFS(RAB!$F$14:$F$101,RAB!$C$14:$C$101,C1086)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SUMIFS(RAB!$F$14:$F$101,RAB!$C$14:$C$101,C1087)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SUMIFS(RAB!$F$14:$F$101,RAB!$C$14:$C$101,C1088)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SUMIFS(RAB!$F$14:$F$101,RAB!$C$14:$C$101,C1089)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SUMIFS(RAB!$F$14:$F$101,RAB!$C$14:$C$101,C1090)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SUMIFS(RAB!$F$14:$F$101,RAB!$C$14:$C$101,C1091)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SUMIFS(RAB!$F$14:$F$101,RAB!$C$14:$C$101,C1092)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SUMIFS(RAB!$F$14:$F$101,RAB!$C$14:$C$101,C1093)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SUMIFS(RAB!$F$14:$F$101,RAB!$C$14:$C$101,C1094)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SUMIFS(RAB!$F$14:$F$101,RAB!$C$14:$C$101,C1095)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SUMIFS(RAB!$F$14:$F$101,RAB!$C$14:$C$101,C1096)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SUMIFS(RAB!$F$14:$F$101,RAB!$C$14:$C$101,C1097)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SUMIFS(RAB!$F$14:$F$101,RAB!$C$14:$C$101,C1098)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SUMIFS(RAB!$F$14:$F$101,RAB!$C$14:$C$101,C1099)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SUMIFS(RAB!$F$14:$F$101,RAB!$C$14:$C$101,C1100)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SUMIFS(RAB!$F$14:$F$101,RAB!$C$14:$C$101,C1101)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SUMIFS(RAB!$F$14:$F$101,RAB!$C$14:$C$101,C1102)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SUMIFS(RAB!$F$14:$F$101,RAB!$C$14:$C$101,C1103)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SUMIFS(RAB!$F$14:$F$101,RAB!$C$14:$C$101,C1104)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SUMIFS(RAB!$F$14:$F$101,RAB!$C$14:$C$101,C1105)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SUMIFS(RAB!$F$14:$F$101,RAB!$C$14:$C$101,C1106)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SUMIFS(RAB!$F$14:$F$101,RAB!$C$14:$C$101,C1107)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SUMIFS(RAB!$F$14:$F$101,RAB!$C$14:$C$101,C1108)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SUMIFS(RAB!$F$14:$F$101,RAB!$C$14:$C$101,C1109)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SUMIFS(RAB!$F$14:$F$101,RAB!$C$14:$C$101,C1110)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SUMIFS(RAB!$F$14:$F$101,RAB!$C$14:$C$101,C1111)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SUMIFS(RAB!$F$14:$F$101,RAB!$C$14:$C$101,C1112)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SUMIFS(RAB!$F$14:$F$101,RAB!$C$14:$C$101,C1113)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SUMIFS(RAB!$F$14:$F$101,RAB!$C$14:$C$101,C1114)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SUMIFS(RAB!$F$14:$F$101,RAB!$C$14:$C$101,C1115)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SUMIFS(RAB!$F$14:$F$101,RAB!$C$14:$C$101,C1116)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SUMIFS(RAB!$F$14:$F$101,RAB!$C$14:$C$101,C1117)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SUMIFS(RAB!$F$14:$F$101,RAB!$C$14:$C$101,C1118)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SUMIFS(RAB!$F$14:$F$101,RAB!$C$14:$C$101,C1119)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SUMIFS(RAB!$F$14:$F$101,RAB!$C$14:$C$101,C1120)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SUMIFS(RAB!$F$14:$F$101,RAB!$C$14:$C$101,C1121)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SUMIFS(RAB!$F$14:$F$101,RAB!$C$14:$C$101,C1122)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SUMIFS(RAB!$F$14:$F$101,RAB!$C$14:$C$101,C1123)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SUMIFS(RAB!$F$14:$F$101,RAB!$C$14:$C$101,C1124)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SUMIFS(RAB!$F$14:$F$101,RAB!$C$14:$C$101,C1125)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SUMIFS(RAB!$F$14:$F$101,RAB!$C$14:$C$101,C1126)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SUMIFS(RAB!$F$14:$F$101,RAB!$C$14:$C$101,C1127)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SUMIFS(RAB!$F$14:$F$101,RAB!$C$14:$C$101,C1128)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SUMIFS(RAB!$F$14:$F$101,RAB!$C$14:$C$101,C1129)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SUMIFS(RAB!$F$14:$F$101,RAB!$C$14:$C$101,C1130)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SUMIFS(RAB!$F$14:$F$101,RAB!$C$14:$C$101,C1131)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SUMIFS(RAB!$F$14:$F$101,RAB!$C$14:$C$101,C1132)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SUMIFS(RAB!$F$14:$F$101,RAB!$C$14:$C$101,C1133)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SUMIFS(RAB!$F$14:$F$101,RAB!$C$14:$C$101,C1134)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SUMIFS(RAB!$F$14:$F$101,RAB!$C$14:$C$101,C1135)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SUMIFS(RAB!$F$14:$F$101,RAB!$C$14:$C$101,C1136)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SUMIFS(RAB!$F$14:$F$101,RAB!$C$14:$C$101,C1137)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SUMIFS(RAB!$F$14:$F$101,RAB!$C$14:$C$101,C1138)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SUMIFS(RAB!$F$14:$F$101,RAB!$C$14:$C$101,C1139)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SUMIFS(RAB!$F$14:$F$101,RAB!$C$14:$C$101,C1140)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SUMIFS(RAB!$F$14:$F$101,RAB!$C$14:$C$101,C1141)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SUMIFS(RAB!$F$14:$F$101,RAB!$C$14:$C$101,C1142)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SUMIFS(RAB!$F$14:$F$101,RAB!$C$14:$C$101,C1143)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SUMIFS(RAB!$F$14:$F$101,RAB!$C$14:$C$101,C1144)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SUMIFS(RAB!$F$14:$F$101,RAB!$C$14:$C$101,C1145)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SUMIFS(RAB!$F$14:$F$101,RAB!$C$14:$C$101,C1146)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SUMIFS(RAB!$F$14:$F$101,RAB!$C$14:$C$101,C1147)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SUMIFS(RAB!$F$14:$F$101,RAB!$C$14:$C$101,C1148)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SUMIFS(RAB!$F$14:$F$101,RAB!$C$14:$C$101,C1149)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SUMIFS(RAB!$F$14:$F$101,RAB!$C$14:$C$101,C1150)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SUMIFS(RAB!$F$14:$F$101,RAB!$C$14:$C$101,C1151)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SUMIFS(RAB!$F$14:$F$101,RAB!$C$14:$C$101,C1152)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SUMIFS(RAB!$F$14:$F$101,RAB!$C$14:$C$101,C1153)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SUMIFS(RAB!$F$14:$F$101,RAB!$C$14:$C$101,C1154)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SUMIFS(RAB!$F$14:$F$101,RAB!$C$14:$C$101,C1155)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SUMIFS(RAB!$F$14:$F$101,RAB!$C$14:$C$101,C1156)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SUMIFS(RAB!$F$14:$F$101,RAB!$C$14:$C$101,C1157)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SUMIFS(RAB!$F$14:$F$101,RAB!$C$14:$C$101,C1158)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SUMIFS(RAB!$F$14:$F$101,RAB!$C$14:$C$101,C1159)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SUMIFS(RAB!$F$14:$F$101,RAB!$C$14:$C$101,C1160)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SUMIFS(RAB!$F$14:$F$101,RAB!$C$14:$C$101,C1161)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SUMIFS(RAB!$F$14:$F$101,RAB!$C$14:$C$101,C1162)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SUMIFS(RAB!$F$14:$F$101,RAB!$C$14:$C$101,C1163)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SUMIFS(RAB!$F$14:$F$101,RAB!$C$14:$C$101,C1164)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SUMIFS(RAB!$F$14:$F$101,RAB!$C$14:$C$101,C1165)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SUMIFS(RAB!$F$14:$F$101,RAB!$C$14:$C$101,C1166)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SUMIFS(RAB!$F$14:$F$101,RAB!$C$14:$C$101,C1167)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SUMIFS(RAB!$F$14:$F$101,RAB!$C$14:$C$101,C1168)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SUMIFS(RAB!$F$14:$F$101,RAB!$C$14:$C$101,C1169)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SUMIFS(RAB!$F$14:$F$101,RAB!$C$14:$C$101,C1170)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SUMIFS(RAB!$F$14:$F$101,RAB!$C$14:$C$101,C1171)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SUMIFS(RAB!$F$14:$F$101,RAB!$C$14:$C$101,C1172)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SUMIFS(RAB!$F$14:$F$101,RAB!$C$14:$C$101,C1173)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SUMIFS(RAB!$F$14:$F$101,RAB!$C$14:$C$101,C1174)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SUMIFS(RAB!$F$14:$F$101,RAB!$C$14:$C$101,C1175)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SUMIFS(RAB!$F$14:$F$101,RAB!$C$14:$C$101,C1176)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SUMIFS(RAB!$F$14:$F$101,RAB!$C$14:$C$101,C1177)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SUMIFS(RAB!$F$14:$F$101,RAB!$C$14:$C$101,C1178)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SUMIFS(RAB!$F$14:$F$101,RAB!$C$14:$C$101,C1179)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SUMIFS(RAB!$F$14:$F$101,RAB!$C$14:$C$101,C1180)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SUMIFS(RAB!$F$14:$F$101,RAB!$C$14:$C$101,C1181)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SUMIFS(RAB!$F$14:$F$101,RAB!$C$14:$C$101,C1182)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SUMIFS(RAB!$F$14:$F$101,RAB!$C$14:$C$101,C1183)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SUMIFS(RAB!$F$14:$F$101,RAB!$C$14:$C$101,C1184)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SUMIFS(RAB!$F$14:$F$101,RAB!$C$14:$C$101,C1185)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SUMIFS(RAB!$F$14:$F$101,RAB!$C$14:$C$101,C1186)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SUMIFS(RAB!$F$14:$F$101,RAB!$C$14:$C$101,C1187)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SUMIFS(RAB!$F$14:$F$101,RAB!$C$14:$C$101,C1188)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SUMIFS(RAB!$F$14:$F$101,RAB!$C$14:$C$101,C1189)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SUMIFS(RAB!$F$14:$F$101,RAB!$C$14:$C$101,C1190)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SUMIFS(RAB!$F$14:$F$101,RAB!$C$14:$C$101,C1191)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SUMIFS(RAB!$F$14:$F$101,RAB!$C$14:$C$101,C1192)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SUMIFS(RAB!$F$14:$F$101,RAB!$C$14:$C$101,C1193)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SUMIFS(RAB!$F$14:$F$101,RAB!$C$14:$C$101,C1194)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SUMIFS(RAB!$F$14:$F$101,RAB!$C$14:$C$101,C1195)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SUMIFS(RAB!$F$14:$F$101,RAB!$C$14:$C$101,C1196)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SUMIFS(RAB!$F$14:$F$101,RAB!$C$14:$C$101,C1197)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SUMIFS(RAB!$F$14:$F$101,RAB!$C$14:$C$101,C1198)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SUMIFS(RAB!$F$14:$F$101,RAB!$C$14:$C$101,C1199)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SUMIFS(RAB!$F$14:$F$101,RAB!$C$14:$C$101,C1200)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SUMIFS(RAB!$F$14:$F$101,RAB!$C$14:$C$101,C1201)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SUMIFS(RAB!$F$14:$F$101,RAB!$C$14:$C$101,C1202)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SUMIFS(RAB!$F$14:$F$101,RAB!$C$14:$C$101,C1203)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SUMIFS(RAB!$F$14:$F$101,RAB!$C$14:$C$101,C1204)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SUMIFS(RAB!$F$14:$F$101,RAB!$C$14:$C$101,C1205)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SUMIFS(RAB!$F$14:$F$101,RAB!$C$14:$C$101,C1206)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SUMIFS(RAB!$F$14:$F$101,RAB!$C$14:$C$101,C1207)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SUMIFS(RAB!$F$14:$F$101,RAB!$C$14:$C$101,C1208)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SUMIFS(RAB!$F$14:$F$101,RAB!$C$14:$C$101,C1209)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SUMIFS(RAB!$F$14:$F$101,RAB!$C$14:$C$101,C1210)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SUMIFS(RAB!$F$14:$F$101,RAB!$C$14:$C$101,C1211)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SUMIFS(RAB!$F$14:$F$101,RAB!$C$14:$C$101,C1212)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SUMIFS(RAB!$F$14:$F$101,RAB!$C$14:$C$101,C1213)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SUMIFS(RAB!$F$14:$F$101,RAB!$C$14:$C$101,C1214)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SUMIFS(RAB!$F$14:$F$101,RAB!$C$14:$C$101,C1215)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SUMIFS(RAB!$F$14:$F$101,RAB!$C$14:$C$101,C1216)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SUMIFS(RAB!$F$14:$F$101,RAB!$C$14:$C$101,C1217)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SUMIFS(RAB!$F$14:$F$101,RAB!$C$14:$C$101,C1218)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SUMIFS(RAB!$F$14:$F$101,RAB!$C$14:$C$101,C1219)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SUMIFS(RAB!$F$14:$F$101,RAB!$C$14:$C$101,C1220)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SUMIFS(RAB!$F$14:$F$101,RAB!$C$14:$C$101,C1221)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SUMIFS(RAB!$F$14:$F$101,RAB!$C$14:$C$101,C1222)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SUMIFS(RAB!$F$14:$F$101,RAB!$C$14:$C$101,C1223)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SUMIFS(RAB!$F$14:$F$101,RAB!$C$14:$C$101,C1224)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SUMIFS(RAB!$F$14:$F$101,RAB!$C$14:$C$101,C1225)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SUMIFS(RAB!$F$14:$F$101,RAB!$C$14:$C$101,C1226)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SUMIFS(RAB!$F$14:$F$101,RAB!$C$14:$C$101,C1227)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SUMIFS(RAB!$F$14:$F$101,RAB!$C$14:$C$101,C1228)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SUMIFS(RAB!$F$14:$F$101,RAB!$C$14:$C$101,C1229)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SUMIFS(RAB!$F$14:$F$101,RAB!$C$14:$C$101,C1230)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SUMIFS(RAB!$F$14:$F$101,RAB!$C$14:$C$101,C1231)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SUMIFS(RAB!$F$14:$F$101,RAB!$C$14:$C$101,C1232)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SUMIFS(RAB!$F$14:$F$101,RAB!$C$14:$C$101,C1233)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SUMIFS(RAB!$F$14:$F$101,RAB!$C$14:$C$101,C1234)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SUMIFS(RAB!$F$14:$F$101,RAB!$C$14:$C$101,C1235)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SUMIFS(RAB!$F$14:$F$101,RAB!$C$14:$C$101,C1236)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SUMIFS(RAB!$F$14:$F$101,RAB!$C$14:$C$101,C1237)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SUMIFS(RAB!$F$14:$F$101,RAB!$C$14:$C$101,C1238)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SUMIFS(RAB!$F$14:$F$101,RAB!$C$14:$C$101,C1239)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SUMIFS(RAB!$F$14:$F$101,RAB!$C$14:$C$101,C1240)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SUMIFS(RAB!$F$14:$F$101,RAB!$C$14:$C$101,C1241)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SUMIFS(RAB!$F$14:$F$101,RAB!$C$14:$C$101,C1242)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SUMIFS(RAB!$F$14:$F$101,RAB!$C$14:$C$101,C1243)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SUMIFS(RAB!$F$14:$F$101,RAB!$C$14:$C$101,C1244)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SUMIFS(RAB!$F$14:$F$101,RAB!$C$14:$C$101,C1245)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SUMIFS(RAB!$F$14:$F$101,RAB!$C$14:$C$101,C1246)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SUMIFS(RAB!$F$14:$F$101,RAB!$C$14:$C$101,C1247)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SUMIFS(RAB!$F$14:$F$101,RAB!$C$14:$C$101,C1248)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SUMIFS(RAB!$F$14:$F$101,RAB!$C$14:$C$101,C1249)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SUMIFS(RAB!$F$14:$F$101,RAB!$C$14:$C$101,C1250)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SUMIFS(RAB!$F$14:$F$101,RAB!$C$14:$C$101,C1251)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SUMIFS(RAB!$F$14:$F$101,RAB!$C$14:$C$101,C1252)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SUMIFS(RAB!$F$14:$F$101,RAB!$C$14:$C$101,C1253)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SUMIFS(RAB!$F$14:$F$101,RAB!$C$14:$C$101,C1254)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SUMIFS(RAB!$F$14:$F$101,RAB!$C$14:$C$101,C1255)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SUMIFS(RAB!$F$14:$F$101,RAB!$C$14:$C$101,C1256)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SUMIFS(RAB!$F$14:$F$101,RAB!$C$14:$C$101,C1257)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SUMIFS(RAB!$F$14:$F$101,RAB!$C$14:$C$101,C1258)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SUMIFS(RAB!$F$14:$F$101,RAB!$C$14:$C$101,C1259)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SUMIFS(RAB!$F$14:$F$101,RAB!$C$14:$C$101,C1260)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SUMIFS(RAB!$F$14:$F$101,RAB!$C$14:$C$101,C1261)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SUMIFS(RAB!$F$14:$F$101,RAB!$C$14:$C$101,C1262)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SUMIFS(RAB!$F$14:$F$101,RAB!$C$14:$C$101,C1263)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SUMIFS(RAB!$F$14:$F$101,RAB!$C$14:$C$101,C1264)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SUMIFS(RAB!$F$14:$F$101,RAB!$C$14:$C$101,C1265)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SUMIFS(RAB!$F$14:$F$101,RAB!$C$14:$C$101,C1266)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SUMIFS(RAB!$F$14:$F$101,RAB!$C$14:$C$101,C1267)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SUMIFS(RAB!$F$14:$F$101,RAB!$C$14:$C$101,C1268)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SUMIFS(RAB!$F$14:$F$101,RAB!$C$14:$C$101,C1269)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SUMIFS(RAB!$F$14:$F$101,RAB!$C$14:$C$101,C1270)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SUMIFS(RAB!$F$14:$F$101,RAB!$C$14:$C$101,C1271)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SUMIFS(RAB!$F$14:$F$101,RAB!$C$14:$C$101,C1272)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SUMIFS(RAB!$F$14:$F$101,RAB!$C$14:$C$101,C1273)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SUMIFS(RAB!$F$14:$F$101,RAB!$C$14:$C$101,C1274)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SUMIFS(RAB!$F$14:$F$101,RAB!$C$14:$C$101,C1275)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SUMIFS(RAB!$F$14:$F$101,RAB!$C$14:$C$101,C1276)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SUMIFS(RAB!$F$14:$F$101,RAB!$C$14:$C$101,C1277)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SUMIFS(RAB!$F$14:$F$101,RAB!$C$14:$C$101,C1278)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SUMIFS(RAB!$F$14:$F$101,RAB!$C$14:$C$101,C1279)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SUMIFS(RAB!$F$14:$F$101,RAB!$C$14:$C$101,C1280)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SUMIFS(RAB!$F$14:$F$101,RAB!$C$14:$C$101,C1281)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SUMIFS(RAB!$F$14:$F$101,RAB!$C$14:$C$101,C1282)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SUMIFS(RAB!$F$14:$F$101,RAB!$C$14:$C$101,C1283)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SUMIFS(RAB!$F$14:$F$101,RAB!$C$14:$C$101,C1284)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SUMIFS(RAB!$F$14:$F$101,RAB!$C$14:$C$101,C1285)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SUMIFS(RAB!$F$14:$F$101,RAB!$C$14:$C$101,C1286)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SUMIFS(RAB!$F$14:$F$101,RAB!$C$14:$C$101,C1287)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SUMIFS(RAB!$F$14:$F$101,RAB!$C$14:$C$101,C1288)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SUMIFS(RAB!$F$14:$F$101,RAB!$C$14:$C$101,C1289)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SUMIFS(RAB!$F$14:$F$101,RAB!$C$14:$C$101,C1290)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SUMIFS(RAB!$F$14:$F$101,RAB!$C$14:$C$101,C1291)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SUMIFS(RAB!$F$14:$F$101,RAB!$C$14:$C$101,C1292)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SUMIFS(RAB!$F$14:$F$101,RAB!$C$14:$C$101,C1293)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SUMIFS(RAB!$F$14:$F$101,RAB!$C$14:$C$101,C1294)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SUMIFS(RAB!$F$14:$F$101,RAB!$C$14:$C$101,C1295)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SUMIFS(RAB!$F$14:$F$101,RAB!$C$14:$C$101,C1296)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SUMIFS(RAB!$F$14:$F$101,RAB!$C$14:$C$101,C1297)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SUMIFS(RAB!$F$14:$F$101,RAB!$C$14:$C$101,C1298)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SUMIFS(RAB!$F$14:$F$101,RAB!$C$14:$C$101,C1299)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SUMIFS(RAB!$F$14:$F$101,RAB!$C$14:$C$101,C1300)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SUMIFS(RAB!$F$14:$F$101,RAB!$C$14:$C$101,C1301)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SUMIFS(RAB!$F$14:$F$101,RAB!$C$14:$C$101,C1302)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SUMIFS(RAB!$F$14:$F$101,RAB!$C$14:$C$101,C1303)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SUMIFS(RAB!$F$14:$F$101,RAB!$C$14:$C$101,C1304)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SUMIFS(RAB!$F$14:$F$101,RAB!$C$14:$C$101,C1305)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SUMIFS(RAB!$F$14:$F$101,RAB!$C$14:$C$101,C1306)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SUMIFS(RAB!$F$14:$F$101,RAB!$C$14:$C$101,C1307)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SUMIFS(RAB!$F$14:$F$101,RAB!$C$14:$C$101,C1308)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SUMIFS(RAB!$F$14:$F$101,RAB!$C$14:$C$101,C1309)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SUMIFS(RAB!$F$14:$F$101,RAB!$C$14:$C$101,C1310)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SUMIFS(RAB!$F$14:$F$101,RAB!$C$14:$C$101,C1311)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SUMIFS(RAB!$F$14:$F$101,RAB!$C$14:$C$101,C1312)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SUMIFS(RAB!$F$14:$F$101,RAB!$C$14:$C$101,C1313)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SUMIFS(RAB!$F$14:$F$101,RAB!$C$14:$C$101,C1314)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SUMIFS(RAB!$F$14:$F$101,RAB!$C$14:$C$101,C1315)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SUMIFS(RAB!$F$14:$F$101,RAB!$C$14:$C$101,C1316)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SUMIFS(RAB!$F$14:$F$101,RAB!$C$14:$C$101,C1317)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SUMIFS(RAB!$F$14:$F$101,RAB!$C$14:$C$101,C1318)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SUMIFS(RAB!$F$14:$F$101,RAB!$C$14:$C$101,C1319)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SUMIFS(RAB!$F$14:$F$101,RAB!$C$14:$C$101,C1320)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 xml:space="preserve"> ERA ISNAINI (GUDANG ROSOK)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KUNCIR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SUMIFS(RAB!$F$14:$F$101,RAB!$C$14:$C$101,'REKAP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SUMIFS(RAB!$F$14:$F$101,RAB!$C$14:$C$101,'REKAP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SUMIFS(RAB!$F$14:$F$101,RAB!$C$14:$C$101,'REKAP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SUMIFS(RAB!$F$14:$F$101,RAB!$C$14:$C$101,'REKAP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SUMIFS(RAB!$F$14:$F$101,RAB!$C$14:$C$101,'REKAP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SUMIFS(RAB!$F$14:$F$101,RAB!$C$14:$C$101,'REKAP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SUMIFS(RAB!$F$14:$F$101,RAB!$C$14:$C$101,'REKAP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SUMIFS(RAB!$F$14:$F$101,RAB!$C$14:$C$101,'REKAP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SUMIFS(RAB!$F$14:$F$101,RAB!$C$14:$C$101,'REKAP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SUMIFS(RAB!$F$14:$F$101,RAB!$C$14:$C$101,'REKAP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SUMIFS(RAB!$F$14:$F$101,RAB!$C$14:$C$101,'REKAP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SUMIFS(RAB!$F$14:$F$101,RAB!$C$14:$C$101,'REKAP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SUMIFS(RAB!$F$14:$F$101,RAB!$C$14:$C$101,'REKAP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SUMIFS(RAB!$F$14:$F$101,RAB!$C$14:$C$101,'REKAP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SUMIFS(RAB!$F$14:$F$101,RAB!$C$14:$C$101,'REKAP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SUMIFS(RAB!$F$14:$F$101,RAB!$C$14:$C$101,'REKAP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SUMIFS(RAB!$F$14:$F$101,RAB!$C$14:$C$101,'REKAP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SUMIFS(RAB!$F$14:$F$101,RAB!$C$14:$C$101,'REKAP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SUMIFS(RAB!$F$14:$F$101,RAB!$C$14:$C$101,'REKAP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SUMIFS(RAB!$F$14:$F$101,RAB!$C$14:$C$101,'REKAP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8" sqref="C1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 xml:space="preserve"> ERA ISNAINI (GUDANG ROSOK)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KUNCIR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322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17162600</v>
      </c>
      <c r="I21" s="42">
        <f t="shared" ca="1" si="2"/>
        <v>0</v>
      </c>
      <c r="J21" s="42">
        <f t="shared" ca="1" si="3"/>
        <v>0</v>
      </c>
      <c r="K21" s="43">
        <f t="shared" ca="1" si="0"/>
        <v>17162600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30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198000</v>
      </c>
      <c r="I22" s="42">
        <f t="shared" ca="1" si="2"/>
        <v>0</v>
      </c>
      <c r="J22" s="42">
        <f t="shared" ca="1" si="3"/>
        <v>0</v>
      </c>
      <c r="K22" s="43">
        <f t="shared" ca="1" si="0"/>
        <v>198000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46449250</v>
      </c>
      <c r="I168" s="55">
        <f ca="1">SUM(I14:I167)</f>
        <v>0</v>
      </c>
      <c r="J168" s="55">
        <f ca="1">SUM(J14:J167)</f>
        <v>0</v>
      </c>
      <c r="K168" s="55">
        <f ca="1">SUM(K14:K167)</f>
        <v>46449250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4644925</v>
      </c>
      <c r="I169" s="60">
        <f ca="1">I168*0.1</f>
        <v>0</v>
      </c>
      <c r="J169" s="60">
        <f ca="1">J168*0.1</f>
        <v>0</v>
      </c>
      <c r="K169" s="60">
        <f ca="1">K168*0.1</f>
        <v>4644925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51094175</v>
      </c>
      <c r="I170" s="78">
        <f ca="1">SUM(I168:I169)</f>
        <v>0</v>
      </c>
      <c r="J170" s="61">
        <f ca="1">SUM(J168:J169)</f>
        <v>0</v>
      </c>
      <c r="K170" s="61">
        <f ca="1">SUM(K168:K169)</f>
        <v>51094175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SUMIFS(RAB!$F$14:$F$101,RAB!$C$14:$C$101,C224)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SUMIFS(RAB!$F$14:$F$101,RAB!$C$14:$C$101,C225)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SUMIFS(RAB!$F$14:$F$101,RAB!$C$14:$C$101,C226)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SUMIFS(RAB!$F$14:$F$101,RAB!$C$14:$C$101,C227)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SUMIFS(RAB!$F$14:$F$101,RAB!$C$14:$C$101,C228)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SUMIFS(RAB!$F$14:$F$101,RAB!$C$14:$C$101,C229)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SUMIFS(RAB!$F$14:$F$101,RAB!$C$14:$C$101,C230)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SUMIFS(RAB!$F$14:$F$101,RAB!$C$14:$C$101,C231)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SUMIFS(RAB!$F$14:$F$101,RAB!$C$14:$C$101,C232)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SUMIFS(RAB!$F$14:$F$101,RAB!$C$14:$C$101,C233)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SUMIFS(RAB!$F$14:$F$101,RAB!$C$14:$C$101,C234)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SUMIFS(RAB!$F$14:$F$101,RAB!$C$14:$C$101,C235)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SUMIFS(RAB!$F$14:$F$101,RAB!$C$14:$C$101,C236)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SUMIFS(RAB!$F$14:$F$101,RAB!$C$14:$C$101,C237)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SUMIFS(RAB!$F$14:$F$101,RAB!$C$14:$C$101,C238)</f>
        <v>1</v>
      </c>
      <c r="E238" s="24">
        <f t="shared" ca="1" si="21"/>
        <v>1</v>
      </c>
      <c r="F238" s="24">
        <f ca="1">IF(D238=0,0,SUM($E$223:E238))</f>
        <v>2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SUMIFS(RAB!$F$14:$F$101,RAB!$C$14:$C$101,C239)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SUMIFS(RAB!$F$14:$F$101,RAB!$C$14:$C$101,C240)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SUMIFS(RAB!$F$14:$F$101,RAB!$C$14:$C$101,C241)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SUMIFS(RAB!$F$14:$F$101,RAB!$C$14:$C$101,C242)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SUMIFS(RAB!$F$14:$F$101,RAB!$C$14:$C$101,C243)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SUMIFS(RAB!$F$14:$F$101,RAB!$C$14:$C$101,C244)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SUMIFS(RAB!$F$14:$F$101,RAB!$C$14:$C$101,C245)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SUMIFS(RAB!$F$14:$F$101,RAB!$C$14:$C$101,C246)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SUMIFS(RAB!$F$14:$F$101,RAB!$C$14:$C$101,C247)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SUMIFS(RAB!$F$14:$F$101,RAB!$C$14:$C$101,C248)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SUMIFS(RAB!$F$14:$F$101,RAB!$C$14:$C$101,C249)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SUMIFS(RAB!$F$14:$F$101,RAB!$C$14:$C$101,C250)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SUMIFS(RAB!$F$14:$F$101,RAB!$C$14:$C$101,C251)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SUMIFS(RAB!$F$14:$F$101,RAB!$C$14:$C$101,C252)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SUMIFS(RAB!$F$14:$F$101,RAB!$C$14:$C$101,C253)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SUMIFS(RAB!$F$14:$F$101,RAB!$C$14:$C$101,C254)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SUMIFS(RAB!$F$14:$F$101,RAB!$C$14:$C$101,C255)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SUMIFS(RAB!$F$14:$F$101,RAB!$C$14:$C$101,C256)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SUMIFS(RAB!$F$14:$F$101,RAB!$C$14:$C$101,C257)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SUMIFS(RAB!$F$14:$F$101,RAB!$C$14:$C$101,C258)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SUMIFS(RAB!$F$14:$F$101,RAB!$C$14:$C$101,C259)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SUMIFS(RAB!$F$14:$F$101,RAB!$C$14:$C$101,C260)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SUMIFS(RAB!$F$14:$F$101,RAB!$C$14:$C$101,C261)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SUMIFS(RAB!$F$14:$F$101,RAB!$C$14:$C$101,C262)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SUMIFS(RAB!$F$14:$F$101,RAB!$C$14:$C$101,C263)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SUMIFS(RAB!$F$14:$F$101,RAB!$C$14:$C$101,C264)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SUMIFS(RAB!$F$14:$F$101,RAB!$C$14:$C$101,C265)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SUMIFS(RAB!$F$14:$F$101,RAB!$C$14:$C$101,C266)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SUMIFS(RAB!$F$14:$F$101,RAB!$C$14:$C$101,C267)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SUMIFS(RAB!$F$14:$F$101,RAB!$C$14:$C$101,C268)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SUMIFS(RAB!$F$14:$F$101,RAB!$C$14:$C$101,C269)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SUMIFS(RAB!$F$14:$F$101,RAB!$C$14:$C$101,C270)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SUMIFS(RAB!$F$14:$F$101,RAB!$C$14:$C$101,C271)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SUMIFS(RAB!$F$14:$F$101,RAB!$C$14:$C$101,C272)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SUMIFS(RAB!$F$14:$F$101,RAB!$C$14:$C$101,C273)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SUMIFS(RAB!$F$14:$F$101,RAB!$C$14:$C$101,C274)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SUMIFS(RAB!$F$14:$F$101,RAB!$C$14:$C$101,C275)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SUMIFS(RAB!$F$14:$F$101,RAB!$C$14:$C$101,C276)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SUMIFS(RAB!$F$14:$F$101,RAB!$C$14:$C$101,C277)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SUMIFS(RAB!$F$14:$F$101,RAB!$C$14:$C$101,C278)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SUMIFS(RAB!$F$14:$F$101,RAB!$C$14:$C$101,C279)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SUMIFS(RAB!$F$14:$F$101,RAB!$C$14:$C$101,C280)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SUMIFS(RAB!$F$14:$F$101,RAB!$C$14:$C$101,C281)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SUMIFS(RAB!$F$14:$F$101,RAB!$C$14:$C$101,C282)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SUMIFS(RAB!$F$14:$F$101,RAB!$C$14:$C$101,C283)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SUMIFS(RAB!$F$14:$F$101,RAB!$C$14:$C$101,C284)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SUMIFS(RAB!$F$14:$F$101,RAB!$C$14:$C$101,C285)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SUMIFS(RAB!$F$14:$F$101,RAB!$C$14:$C$101,C286)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SUMIFS(RAB!$F$14:$F$101,RAB!$C$14:$C$101,C287)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SUMIFS(RAB!$F$14:$F$101,RAB!$C$14:$C$101,C288)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SUMIFS(RAB!$F$14:$F$101,RAB!$C$14:$C$101,C289)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SUMIFS(RAB!$F$14:$F$101,RAB!$C$14:$C$101,C290)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SUMIFS(RAB!$F$14:$F$101,RAB!$C$14:$C$101,C291)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SUMIFS(RAB!$F$14:$F$101,RAB!$C$14:$C$101,C292)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SUMIFS(RAB!$F$14:$F$101,RAB!$C$14:$C$101,C293)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SUMIFS(RAB!$F$14:$F$101,RAB!$C$14:$C$101,C294)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SUMIFS(RAB!$F$14:$F$101,RAB!$C$14:$C$101,C295)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SUMIFS(RAB!$F$14:$F$101,RAB!$C$14:$C$101,C296)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SUMIFS(RAB!$F$14:$F$101,RAB!$C$14:$C$101,C297)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SUMIFS(RAB!$F$14:$F$101,RAB!$C$14:$C$101,C298)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SUMIFS(RAB!$F$14:$F$101,RAB!$C$14:$C$101,C299)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SUMIFS(RAB!$F$14:$F$101,RAB!$C$14:$C$101,C300)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SUMIFS(RAB!$F$14:$F$101,RAB!$C$14:$C$101,C301)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SUMIFS(RAB!$F$14:$F$101,RAB!$C$14:$C$101,C302)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SUMIFS(RAB!$F$14:$F$101,RAB!$C$14:$C$101,C303)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SUMIFS(RAB!$F$14:$F$101,RAB!$C$14:$C$101,C304)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SUMIFS(RAB!$F$14:$F$101,RAB!$C$14:$C$101,C305)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SUMIFS(RAB!$F$14:$F$101,RAB!$C$14:$C$101,C306)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SUMIFS(RAB!$F$14:$F$101,RAB!$C$14:$C$101,C307)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SUMIFS(RAB!$F$14:$F$101,RAB!$C$14:$C$101,C308)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SUMIFS(RAB!$F$14:$F$101,RAB!$C$14:$C$101,C309)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SUMIFS(RAB!$F$14:$F$101,RAB!$C$14:$C$101,C310)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SUMIFS(RAB!$F$14:$F$101,RAB!$C$14:$C$101,C311)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SUMIFS(RAB!$F$14:$F$101,RAB!$C$14:$C$101,C312)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SUMIFS(RAB!$F$14:$F$101,RAB!$C$14:$C$101,C313)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SUMIFS(RAB!$F$14:$F$101,RAB!$C$14:$C$101,C314)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SUMIFS(RAB!$F$14:$F$101,RAB!$C$14:$C$101,C315)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SUMIFS(RAB!$F$14:$F$101,RAB!$C$14:$C$101,C316)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SUMIFS(RAB!$F$14:$F$101,RAB!$C$14:$C$101,C317)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SUMIFS(RAB!$F$14:$F$101,RAB!$C$14:$C$101,C318)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SUMIFS(RAB!$F$14:$F$101,RAB!$C$14:$C$101,C319)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SUMIFS(RAB!$F$14:$F$101,RAB!$C$14:$C$101,C320)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SUMIFS(RAB!$F$14:$F$101,RAB!$C$14:$C$101,C321)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SUMIFS(RAB!$F$14:$F$101,RAB!$C$14:$C$101,C322)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SUMIFS(RAB!$F$14:$F$101,RAB!$C$14:$C$101,C323)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SUMIFS(RAB!$F$14:$F$101,RAB!$C$14:$C$101,C324)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SUMIFS(RAB!$F$14:$F$101,RAB!$C$14:$C$101,C325)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SUMIFS(RAB!$F$14:$F$101,RAB!$C$14:$C$101,C326)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SUMIFS(RAB!$F$14:$F$101,RAB!$C$14:$C$101,C327)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SUMIFS(RAB!$F$14:$F$101,RAB!$C$14:$C$101,C328)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SUMIFS(RAB!$F$14:$F$101,RAB!$C$14:$C$101,C329)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SUMIFS(RAB!$F$14:$F$101,RAB!$C$14:$C$101,C330)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SUMIFS(RAB!$F$14:$F$101,RAB!$C$14:$C$101,C331)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SUMIFS(RAB!$F$14:$F$101,RAB!$C$14:$C$101,C332)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SUMIFS(RAB!$F$14:$F$101,RAB!$C$14:$C$101,C333)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SUMIFS(RAB!$F$14:$F$101,RAB!$C$14:$C$101,C334)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SUMIFS(RAB!$F$14:$F$101,RAB!$C$14:$C$101,C335)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SUMIFS(RAB!$F$14:$F$101,RAB!$C$14:$C$101,C336)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SUMIFS(RAB!$F$14:$F$101,RAB!$C$14:$C$101,C337)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SUMIFS(RAB!$F$14:$F$101,RAB!$C$14:$C$101,C338)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SUMIFS(RAB!$F$14:$F$101,RAB!$C$14:$C$101,C339)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SUMIFS(RAB!$F$14:$F$101,RAB!$C$14:$C$101,C340)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SUMIFS(RAB!$F$14:$F$101,RAB!$C$14:$C$101,C341)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SUMIFS(RAB!$F$14:$F$101,RAB!$C$14:$C$101,C342)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SUMIFS(RAB!$F$14:$F$101,RAB!$C$14:$C$101,C343)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SUMIFS(RAB!$F$14:$F$101,RAB!$C$14:$C$101,C344)</f>
        <v>322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SUMIFS(RAB!$F$14:$F$101,RAB!$C$14:$C$101,C345)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SUMIFS(RAB!$F$14:$F$101,RAB!$C$14:$C$101,C346)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SUMIFS(RAB!$F$14:$F$101,RAB!$C$14:$C$101,C347)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SUMIFS(RAB!$F$14:$F$101,RAB!$C$14:$C$101,C348)</f>
        <v>30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SUMIFS(RAB!$F$14:$F$101,RAB!$C$14:$C$101,C349)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SUMIFS(RAB!$F$14:$F$101,RAB!$C$14:$C$101,C350)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SUMIFS(RAB!$F$14:$F$101,RAB!$C$14:$C$101,C351)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SUMIFS(RAB!$F$14:$F$101,RAB!$C$14:$C$101,C352)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SUMIFS(RAB!$F$14:$F$101,RAB!$C$14:$C$101,C353)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SUMIFS(RAB!$F$14:$F$101,RAB!$C$14:$C$101,C354)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SUMIFS(RAB!$F$14:$F$101,RAB!$C$14:$C$101,C355)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SUMIFS(RAB!$F$14:$F$101,RAB!$C$14:$C$101,C356)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SUMIFS(RAB!$F$14:$F$101,RAB!$C$14:$C$101,C357)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SUMIFS(RAB!$F$14:$F$101,RAB!$C$14:$C$101,C358)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SUMIFS(RAB!$F$14:$F$101,RAB!$C$14:$C$101,C359)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SUMIFS(RAB!$F$14:$F$101,RAB!$C$14:$C$101,C360)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SUMIFS(RAB!$F$14:$F$101,RAB!$C$14:$C$101,C361)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SUMIFS(RAB!$F$14:$F$101,RAB!$C$14:$C$101,C362)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SUMIFS(RAB!$F$14:$F$101,RAB!$C$14:$C$101,C363)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SUMIFS(RAB!$F$14:$F$101,RAB!$C$14:$C$101,C364)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SUMIFS(RAB!$F$14:$F$101,RAB!$C$14:$C$101,C365)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SUMIFS(RAB!$F$14:$F$101,RAB!$C$14:$C$101,C366)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SUMIFS(RAB!$F$14:$F$101,RAB!$C$14:$C$101,C367)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SUMIFS(RAB!$F$14:$F$101,RAB!$C$14:$C$101,C368)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SUMIFS(RAB!$F$14:$F$101,RAB!$C$14:$C$101,C369)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SUMIFS(RAB!$F$14:$F$101,RAB!$C$14:$C$101,C370)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SUMIFS(RAB!$F$14:$F$101,RAB!$C$14:$C$101,C371)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SUMIFS(RAB!$F$14:$F$101,RAB!$C$14:$C$101,C372)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SUMIFS(RAB!$F$14:$F$101,RAB!$C$14:$C$101,C373)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5" sqref="C2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1604</v>
      </c>
      <c r="G4" s="108" t="s">
        <v>1603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25" sqref="O2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4" t="s">
        <v>1454</v>
      </c>
      <c r="C2" s="594"/>
      <c r="D2" s="594"/>
      <c r="E2" s="59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9" t="s">
        <v>1532</v>
      </c>
      <c r="C4" s="600"/>
      <c r="D4" s="600"/>
      <c r="E4" s="601"/>
      <c r="F4" s="440"/>
      <c r="G4" s="440"/>
      <c r="H4" s="441"/>
      <c r="I4" s="563" t="s">
        <v>1533</v>
      </c>
      <c r="J4" s="564"/>
      <c r="K4" s="564"/>
      <c r="L4" s="565"/>
    </row>
    <row r="5" spans="1:12" ht="34.5" customHeight="1">
      <c r="A5" s="204"/>
      <c r="B5" s="443" t="s">
        <v>1379</v>
      </c>
      <c r="C5" s="277" t="s">
        <v>9</v>
      </c>
      <c r="D5" s="595" t="str">
        <f>DATA!D14</f>
        <v xml:space="preserve"> ERA ISNAINI (GUDANG ROSOK)</v>
      </c>
      <c r="E5" s="596"/>
      <c r="F5" s="208"/>
      <c r="G5" s="208"/>
      <c r="I5" s="444" t="s">
        <v>1379</v>
      </c>
      <c r="J5" s="277" t="s">
        <v>9</v>
      </c>
      <c r="K5" s="566" t="str">
        <f>D5</f>
        <v xml:space="preserve"> ERA ISNAINI (GUDANG ROSOK)</v>
      </c>
      <c r="L5" s="567"/>
    </row>
    <row r="6" spans="1:12" ht="31.5" customHeight="1">
      <c r="A6" s="204"/>
      <c r="B6" s="443" t="s">
        <v>1529</v>
      </c>
      <c r="C6" s="277" t="s">
        <v>9</v>
      </c>
      <c r="D6" s="604">
        <f>DATA!D17*1000</f>
        <v>0</v>
      </c>
      <c r="E6" s="605"/>
      <c r="F6" s="208"/>
      <c r="G6" s="208"/>
      <c r="I6" s="444" t="s">
        <v>1530</v>
      </c>
      <c r="J6" s="277" t="s">
        <v>9</v>
      </c>
      <c r="K6" s="568">
        <f>DATA!D20*1000</f>
        <v>7700</v>
      </c>
      <c r="L6" s="569"/>
    </row>
    <row r="7" spans="1:12" ht="30.75" customHeight="1">
      <c r="A7" s="204"/>
      <c r="B7" s="443" t="s">
        <v>1441</v>
      </c>
      <c r="C7" s="277" t="s">
        <v>9</v>
      </c>
      <c r="D7" s="602">
        <f>DATA!D18</f>
        <v>1</v>
      </c>
      <c r="E7" s="603"/>
      <c r="F7" s="442" t="s">
        <v>1453</v>
      </c>
      <c r="I7" s="444" t="s">
        <v>1441</v>
      </c>
      <c r="J7" s="277" t="s">
        <v>9</v>
      </c>
      <c r="K7" s="570">
        <f>DATA!D21</f>
        <v>1</v>
      </c>
      <c r="L7" s="571"/>
    </row>
    <row r="8" spans="1:12" ht="51" customHeight="1">
      <c r="A8" s="204"/>
      <c r="B8" s="443" t="s">
        <v>1442</v>
      </c>
      <c r="C8" s="277" t="s">
        <v>9</v>
      </c>
      <c r="D8" s="602">
        <f>DATA!D19</f>
        <v>220</v>
      </c>
      <c r="E8" s="603"/>
      <c r="F8" s="442" t="s">
        <v>1453</v>
      </c>
      <c r="G8" s="437">
        <v>220</v>
      </c>
      <c r="I8" s="444" t="s">
        <v>1442</v>
      </c>
      <c r="J8" s="277" t="s">
        <v>9</v>
      </c>
      <c r="K8" s="570">
        <f>DATA!D22</f>
        <v>220</v>
      </c>
      <c r="L8" s="571"/>
    </row>
    <row r="9" spans="1:12" ht="30" customHeight="1" thickBot="1">
      <c r="A9" s="204"/>
      <c r="B9" s="449" t="s">
        <v>1541</v>
      </c>
      <c r="C9" s="439" t="s">
        <v>9</v>
      </c>
      <c r="D9" s="597">
        <f>IF(D7=1,D6/(380/3^0.5),(D6/(380*3^0.5)))</f>
        <v>0</v>
      </c>
      <c r="E9" s="598"/>
      <c r="F9" s="207"/>
      <c r="G9" s="438">
        <v>380</v>
      </c>
      <c r="I9" s="450" t="s">
        <v>1541</v>
      </c>
      <c r="J9" s="439" t="s">
        <v>9</v>
      </c>
      <c r="K9" s="574">
        <f>IF(K7=1,K6/(380/3^0.5),(K6/(380*3^0.5)))</f>
        <v>35.096818995474621</v>
      </c>
      <c r="L9" s="575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606"/>
      <c r="E12" s="607"/>
      <c r="F12" s="208"/>
      <c r="G12" s="208"/>
      <c r="I12" s="466" t="s">
        <v>1534</v>
      </c>
      <c r="J12" s="467" t="s">
        <v>9</v>
      </c>
      <c r="K12" s="606"/>
      <c r="L12" s="607"/>
    </row>
    <row r="13" spans="1:12" ht="31.5" customHeight="1">
      <c r="A13" s="204"/>
      <c r="B13" s="474" t="s">
        <v>1380</v>
      </c>
      <c r="C13" s="454" t="s">
        <v>9</v>
      </c>
      <c r="D13" s="572"/>
      <c r="E13" s="573"/>
      <c r="F13" s="208"/>
      <c r="G13" s="208"/>
      <c r="I13" s="468" t="s">
        <v>1380</v>
      </c>
      <c r="J13" s="454" t="s">
        <v>9</v>
      </c>
      <c r="K13" s="572"/>
      <c r="L13" s="573"/>
    </row>
    <row r="14" spans="1:12" ht="30.75" customHeight="1">
      <c r="A14" s="204"/>
      <c r="B14" s="474" t="s">
        <v>1535</v>
      </c>
      <c r="C14" s="454" t="s">
        <v>9</v>
      </c>
      <c r="D14" s="576">
        <v>50</v>
      </c>
      <c r="E14" s="577"/>
      <c r="F14" s="442" t="s">
        <v>1453</v>
      </c>
      <c r="G14" s="446">
        <v>50</v>
      </c>
      <c r="I14" s="468" t="s">
        <v>1535</v>
      </c>
      <c r="J14" s="454" t="s">
        <v>9</v>
      </c>
      <c r="K14" s="578">
        <v>50</v>
      </c>
      <c r="L14" s="579"/>
    </row>
    <row r="15" spans="1:12" ht="57" customHeight="1">
      <c r="A15" s="204"/>
      <c r="B15" s="474" t="s">
        <v>1441</v>
      </c>
      <c r="C15" s="454" t="s">
        <v>9</v>
      </c>
      <c r="D15" s="460">
        <v>1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1</v>
      </c>
      <c r="L15" s="469"/>
    </row>
    <row r="16" spans="1:12" ht="44.25" customHeight="1">
      <c r="A16" s="204"/>
      <c r="B16" s="474" t="s">
        <v>1545</v>
      </c>
      <c r="C16" s="454"/>
      <c r="D16" s="580">
        <f>93+105</f>
        <v>198</v>
      </c>
      <c r="E16" s="581"/>
      <c r="F16" s="442"/>
      <c r="G16" s="446">
        <v>160</v>
      </c>
      <c r="I16" s="468" t="s">
        <v>1537</v>
      </c>
      <c r="J16" s="454" t="s">
        <v>9</v>
      </c>
      <c r="K16" s="584">
        <f>K9</f>
        <v>35.096818995474621</v>
      </c>
      <c r="L16" s="585"/>
    </row>
    <row r="17" spans="1:12" ht="34.5" customHeight="1">
      <c r="A17" s="204"/>
      <c r="B17" s="474" t="s">
        <v>1538</v>
      </c>
      <c r="C17" s="454" t="s">
        <v>9</v>
      </c>
      <c r="D17" s="582">
        <f>IF(D15=1,D14/(20/3^0.5),(D14/(20*3^0.5)))</f>
        <v>4.3301270189221928</v>
      </c>
      <c r="E17" s="583"/>
      <c r="F17" s="442" t="s">
        <v>1453</v>
      </c>
      <c r="G17" s="447">
        <v>200</v>
      </c>
      <c r="I17" s="468" t="s">
        <v>1538</v>
      </c>
      <c r="J17" s="454" t="s">
        <v>9</v>
      </c>
      <c r="K17" s="588">
        <f>IF(K15=1,K14/(20/3^0.5),(K14/(20*3^0.5)))</f>
        <v>4.3301270189221928</v>
      </c>
      <c r="L17" s="589"/>
    </row>
    <row r="18" spans="1:12" ht="34.5" customHeight="1">
      <c r="A18" s="204"/>
      <c r="B18" s="474" t="s">
        <v>1539</v>
      </c>
      <c r="C18" s="454" t="s">
        <v>9</v>
      </c>
      <c r="D18" s="582">
        <f>IF(D15=1,D14/(380/3^0.5),(D14/(380*3^0.5)))*1000</f>
        <v>227.90142204853646</v>
      </c>
      <c r="E18" s="583"/>
      <c r="F18" s="442" t="s">
        <v>1453</v>
      </c>
      <c r="G18" s="447">
        <v>250</v>
      </c>
      <c r="I18" s="468" t="s">
        <v>1539</v>
      </c>
      <c r="J18" s="454" t="s">
        <v>9</v>
      </c>
      <c r="K18" s="588">
        <f>IF(K15=1,K14/(380/3^0.5),(K14/(380*3^0.5)))*1000</f>
        <v>227.90142204853646</v>
      </c>
      <c r="L18" s="589"/>
    </row>
    <row r="19" spans="1:12" ht="30" customHeight="1">
      <c r="A19" s="204"/>
      <c r="B19" s="475" t="s">
        <v>1531</v>
      </c>
      <c r="C19" s="453" t="s">
        <v>9</v>
      </c>
      <c r="D19" s="582">
        <f>IF(D15=1,D14/(380/3^0.5),(D14/(380*3^0.5)))</f>
        <v>0.22790142204853647</v>
      </c>
      <c r="E19" s="583"/>
      <c r="F19" s="207"/>
      <c r="G19" s="438"/>
      <c r="I19" s="470" t="s">
        <v>1531</v>
      </c>
      <c r="J19" s="453" t="s">
        <v>9</v>
      </c>
      <c r="K19" s="588">
        <f>IF(K15=1,K14/(380/3^0.5),(K14/(380*3^0.5)))</f>
        <v>0.22790142204853647</v>
      </c>
      <c r="L19" s="589"/>
    </row>
    <row r="20" spans="1:12" ht="30" customHeight="1" thickBot="1">
      <c r="A20" s="204"/>
      <c r="B20" s="476" t="s">
        <v>1540</v>
      </c>
      <c r="C20" s="472" t="s">
        <v>9</v>
      </c>
      <c r="D20" s="608">
        <f>D16/D18</f>
        <v>0.86879668507654895</v>
      </c>
      <c r="E20" s="609"/>
      <c r="F20" s="207"/>
      <c r="G20" s="438"/>
      <c r="I20" s="471" t="s">
        <v>1531</v>
      </c>
      <c r="J20" s="472" t="s">
        <v>9</v>
      </c>
      <c r="K20" s="586">
        <f>K16/K18</f>
        <v>0.15400000000000003</v>
      </c>
      <c r="L20" s="587"/>
    </row>
    <row r="21" spans="1:12" ht="9.75" customHeight="1">
      <c r="A21" s="204"/>
      <c r="B21" s="461" t="s">
        <v>1540</v>
      </c>
      <c r="C21" s="462" t="s">
        <v>9</v>
      </c>
      <c r="D21" s="593">
        <v>1</v>
      </c>
      <c r="E21" s="593"/>
      <c r="F21" s="463"/>
      <c r="G21" s="464"/>
      <c r="H21" s="465"/>
      <c r="I21" s="461" t="s">
        <v>1531</v>
      </c>
      <c r="J21" s="462" t="s">
        <v>9</v>
      </c>
      <c r="K21" s="593">
        <v>1</v>
      </c>
      <c r="L21" s="593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0"/>
      <c r="C1" s="610"/>
      <c r="D1" s="61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7.7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7461300</v>
      </c>
    </row>
    <row r="10" spans="2:11" ht="20.100000000000001" customHeight="1">
      <c r="B10" s="291" t="s">
        <v>1446</v>
      </c>
      <c r="C10" s="292" t="s">
        <v>9</v>
      </c>
      <c r="D10" s="298">
        <f ca="1">RAB!K107</f>
        <v>63385380.696399994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1267707.613928</v>
      </c>
    </row>
    <row r="12" spans="2:11" ht="9" customHeight="1">
      <c r="B12" s="611"/>
      <c r="C12" s="611"/>
      <c r="D12" s="611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1637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1620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0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7.7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1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220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19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8" t="s">
        <v>1357</v>
      </c>
      <c r="C3" s="618"/>
      <c r="D3" s="618"/>
      <c r="E3" s="618"/>
      <c r="F3" s="305" t="str">
        <f>DATA!D14</f>
        <v xml:space="preserve"> ERA ISNAINI (GUDANG ROSOK)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2" t="s">
        <v>1349</v>
      </c>
      <c r="C5" s="612" t="s">
        <v>1358</v>
      </c>
      <c r="D5" s="617" t="s">
        <v>1359</v>
      </c>
      <c r="E5" s="617" t="s">
        <v>1360</v>
      </c>
      <c r="F5" s="612" t="s">
        <v>1361</v>
      </c>
      <c r="G5" s="612"/>
      <c r="H5" s="612"/>
      <c r="I5" s="612"/>
      <c r="J5" s="612"/>
      <c r="K5" s="612" t="s">
        <v>1362</v>
      </c>
      <c r="L5" s="612"/>
      <c r="M5" s="307"/>
      <c r="N5" s="615" t="s">
        <v>1363</v>
      </c>
      <c r="O5" s="617" t="s">
        <v>1364</v>
      </c>
      <c r="P5" s="617" t="s">
        <v>1365</v>
      </c>
      <c r="Q5" s="617" t="s">
        <v>1366</v>
      </c>
      <c r="R5" s="308"/>
      <c r="S5" s="309"/>
      <c r="T5" s="613" t="s">
        <v>1367</v>
      </c>
      <c r="U5" s="310"/>
    </row>
    <row r="6" spans="1:21" ht="20.100000000000001" customHeight="1">
      <c r="B6" s="612"/>
      <c r="C6" s="612"/>
      <c r="D6" s="612"/>
      <c r="E6" s="61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6"/>
      <c r="O6" s="612"/>
      <c r="P6" s="612"/>
      <c r="Q6" s="612"/>
      <c r="R6" s="308"/>
      <c r="S6" s="309"/>
      <c r="T6" s="612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308</v>
      </c>
      <c r="D7" s="316">
        <f>C7*4/24</f>
        <v>51.333333333333336</v>
      </c>
      <c r="E7" s="316">
        <f>C7-D7</f>
        <v>256.66666666666669</v>
      </c>
      <c r="F7" s="317">
        <f ca="1">DATA!D10/1000000</f>
        <v>63.385380696399992</v>
      </c>
      <c r="G7" s="318">
        <f ca="1">DATA!$D$11/1000000</f>
        <v>1.2677076139279999</v>
      </c>
      <c r="H7" s="318">
        <f>C7*DATA!$D$5/1000000</f>
        <v>0.33391051413306794</v>
      </c>
      <c r="I7" s="318">
        <f>(C7*DATA!$D$5*DATA!$D$7)/1000000</f>
        <v>7.5129865679940278E-3</v>
      </c>
      <c r="J7" s="316">
        <f ca="1">SUM(F7:I7)</f>
        <v>64.994511811029042</v>
      </c>
      <c r="K7" s="319">
        <f>DATA!D9/1000000</f>
        <v>7.4612999999999996</v>
      </c>
      <c r="L7" s="316">
        <f>((D7*DATA!$D$23)/1000000)+((E7*DATA!$D$24)/1000000)</f>
        <v>0.44496760000000002</v>
      </c>
      <c r="M7" s="316">
        <f>K7+L7</f>
        <v>7.9062675999999996</v>
      </c>
      <c r="N7" s="316">
        <f ca="1">M7-J7</f>
        <v>-57.088244211029043</v>
      </c>
      <c r="O7" s="314">
        <v>1</v>
      </c>
      <c r="P7" s="316">
        <f ca="1">O7*N7</f>
        <v>-57.088244211029043</v>
      </c>
      <c r="Q7" s="316">
        <f ca="1">P7</f>
        <v>-57.088244211029043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3696</v>
      </c>
      <c r="D8" s="316">
        <f>C8*4/24</f>
        <v>616</v>
      </c>
      <c r="E8" s="316">
        <f t="shared" ref="E8:E32" si="0">C8-D8</f>
        <v>3080</v>
      </c>
      <c r="F8" s="314"/>
      <c r="G8" s="318">
        <f ca="1">DATA!$D$11/1000000</f>
        <v>1.2677076139279999</v>
      </c>
      <c r="H8" s="318">
        <f>C8*DATA!$D$5/1000000</f>
        <v>4.0069261695968148</v>
      </c>
      <c r="I8" s="318">
        <f>(C8*DATA!$D$5*DATA!$D$7)/1000000</f>
        <v>9.0155838815928327E-2</v>
      </c>
      <c r="J8" s="316">
        <f t="shared" ref="J8:J32" ca="1" si="1">SUM(F8:I8)</f>
        <v>5.3647896223407425</v>
      </c>
      <c r="K8" s="321"/>
      <c r="L8" s="316">
        <f>((D8*DATA!$D$23)/1000000)+((E8*DATA!$D$24)/1000000)</f>
        <v>5.3396112000000002</v>
      </c>
      <c r="M8" s="316">
        <f t="shared" ref="M8:M32" si="2">K8+L8</f>
        <v>5.3396112000000002</v>
      </c>
      <c r="N8" s="316">
        <f ca="1">M8-J8</f>
        <v>-2.5178422340742301E-2</v>
      </c>
      <c r="O8" s="315">
        <f>1/(1+'[93]Asumsi I'!$C$3)^(KKF!A8)</f>
        <v>0.89285714285714279</v>
      </c>
      <c r="P8" s="316">
        <f ca="1">O8*N8</f>
        <v>-2.2480734232805624E-2</v>
      </c>
      <c r="Q8" s="316">
        <f ca="1">Q7+P8</f>
        <v>-57.11072494526185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3696</v>
      </c>
      <c r="D9" s="316">
        <f t="shared" ref="D9:D32" si="5">C9*4/24</f>
        <v>616</v>
      </c>
      <c r="E9" s="316">
        <f t="shared" si="0"/>
        <v>3080</v>
      </c>
      <c r="F9" s="314"/>
      <c r="G9" s="318">
        <f ca="1">DATA!$D$11/1000000</f>
        <v>1.2677076139279999</v>
      </c>
      <c r="H9" s="318">
        <f>C9*DATA!$D$5/1000000</f>
        <v>4.0069261695968148</v>
      </c>
      <c r="I9" s="318">
        <f>(C9*DATA!$D$5*DATA!$D$7)/1000000</f>
        <v>9.0155838815928327E-2</v>
      </c>
      <c r="J9" s="316">
        <f t="shared" ca="1" si="1"/>
        <v>5.3647896223407425</v>
      </c>
      <c r="K9" s="316"/>
      <c r="L9" s="316">
        <f>((D9*DATA!$D$23)/1000000)+((E9*DATA!$D$24)/1000000)</f>
        <v>5.3396112000000002</v>
      </c>
      <c r="M9" s="316">
        <f t="shared" si="2"/>
        <v>5.3396112000000002</v>
      </c>
      <c r="N9" s="316">
        <f t="shared" ref="N9:N32" ca="1" si="6">M9-J9</f>
        <v>-2.5178422340742301E-2</v>
      </c>
      <c r="O9" s="322">
        <f>1/(1+'[93]Asumsi I'!$C$3)^(KKF!A9)</f>
        <v>0.79719387755102034</v>
      </c>
      <c r="P9" s="316">
        <f t="shared" ref="P9:P32" ca="1" si="7">O9*N9</f>
        <v>-2.0072084136433594E-2</v>
      </c>
      <c r="Q9" s="316">
        <f ca="1">Q8+P9</f>
        <v>-57.130797029398281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3696</v>
      </c>
      <c r="D10" s="316">
        <f t="shared" si="5"/>
        <v>616</v>
      </c>
      <c r="E10" s="316">
        <f t="shared" si="0"/>
        <v>3080</v>
      </c>
      <c r="F10" s="314"/>
      <c r="G10" s="318">
        <f ca="1">DATA!$D$11/1000000</f>
        <v>1.2677076139279999</v>
      </c>
      <c r="H10" s="318">
        <f>C10*DATA!$D$5/1000000</f>
        <v>4.0069261695968148</v>
      </c>
      <c r="I10" s="318">
        <f>(C10*DATA!$D$5*DATA!$D$7)/1000000</f>
        <v>9.0155838815928327E-2</v>
      </c>
      <c r="J10" s="316">
        <f t="shared" ca="1" si="1"/>
        <v>5.3647896223407425</v>
      </c>
      <c r="K10" s="314"/>
      <c r="L10" s="316">
        <f>((D10*DATA!$D$23)/1000000)+((E10*DATA!$D$24)/1000000)</f>
        <v>5.3396112000000002</v>
      </c>
      <c r="M10" s="316">
        <f t="shared" si="2"/>
        <v>5.3396112000000002</v>
      </c>
      <c r="N10" s="316">
        <f t="shared" ca="1" si="6"/>
        <v>-2.5178422340742301E-2</v>
      </c>
      <c r="O10" s="315">
        <f>1/(1+'[93]Asumsi I'!$C$3)^(KKF!A10)</f>
        <v>0.71178024781341087</v>
      </c>
      <c r="P10" s="316">
        <f t="shared" ca="1" si="7"/>
        <v>-1.7921503693244276E-2</v>
      </c>
      <c r="Q10" s="316">
        <f t="shared" ref="Q10:Q30" ca="1" si="9">Q9+P10</f>
        <v>-57.148718533091525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3696</v>
      </c>
      <c r="D11" s="316">
        <f t="shared" si="5"/>
        <v>616</v>
      </c>
      <c r="E11" s="316">
        <f t="shared" si="0"/>
        <v>3080</v>
      </c>
      <c r="F11" s="314"/>
      <c r="G11" s="318">
        <f ca="1">DATA!$D$11/1000000</f>
        <v>1.2677076139279999</v>
      </c>
      <c r="H11" s="318">
        <f>C11*DATA!$D$5/1000000</f>
        <v>4.0069261695968148</v>
      </c>
      <c r="I11" s="318">
        <f>(C11*DATA!$D$5*DATA!$D$7)/1000000</f>
        <v>9.0155838815928327E-2</v>
      </c>
      <c r="J11" s="316">
        <f t="shared" ca="1" si="1"/>
        <v>5.3647896223407425</v>
      </c>
      <c r="K11" s="314"/>
      <c r="L11" s="316">
        <f>((D11*DATA!$D$23)/1000000)+((E11*DATA!$D$24)/1000000)</f>
        <v>5.3396112000000002</v>
      </c>
      <c r="M11" s="316">
        <f t="shared" si="2"/>
        <v>5.3396112000000002</v>
      </c>
      <c r="N11" s="316">
        <f t="shared" ca="1" si="6"/>
        <v>-2.5178422340742301E-2</v>
      </c>
      <c r="O11" s="315">
        <f>1/(1+'[93]Asumsi I'!$C$3)^(KKF!A11)</f>
        <v>0.63551807840483121</v>
      </c>
      <c r="P11" s="316">
        <f t="shared" ca="1" si="7"/>
        <v>-1.6001342583253819E-2</v>
      </c>
      <c r="Q11" s="316">
        <f t="shared" ca="1" si="9"/>
        <v>-57.164719875674777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3696</v>
      </c>
      <c r="D12" s="316">
        <f t="shared" si="5"/>
        <v>616</v>
      </c>
      <c r="E12" s="316">
        <f t="shared" si="0"/>
        <v>3080</v>
      </c>
      <c r="F12" s="314"/>
      <c r="G12" s="318">
        <f ca="1">DATA!$D$11/1000000</f>
        <v>1.2677076139279999</v>
      </c>
      <c r="H12" s="318">
        <f>C12*DATA!$D$5/1000000</f>
        <v>4.0069261695968148</v>
      </c>
      <c r="I12" s="318">
        <f>(C12*DATA!$D$5*DATA!$D$7)/1000000</f>
        <v>9.0155838815928327E-2</v>
      </c>
      <c r="J12" s="316">
        <f t="shared" ca="1" si="1"/>
        <v>5.3647896223407425</v>
      </c>
      <c r="K12" s="314"/>
      <c r="L12" s="316">
        <f>((D12*DATA!$D$23)/1000000)+((E12*DATA!$D$24)/1000000)</f>
        <v>5.3396112000000002</v>
      </c>
      <c r="M12" s="316">
        <f t="shared" si="2"/>
        <v>5.3396112000000002</v>
      </c>
      <c r="N12" s="316">
        <f t="shared" ca="1" si="6"/>
        <v>-2.5178422340742301E-2</v>
      </c>
      <c r="O12" s="315">
        <f>1/(1+'[93]Asumsi I'!$C$3)^(KKF!A12)</f>
        <v>0.56742685571859919</v>
      </c>
      <c r="P12" s="316">
        <f t="shared" ca="1" si="7"/>
        <v>-1.4286913020762336E-2</v>
      </c>
      <c r="Q12" s="316">
        <f t="shared" ca="1" si="9"/>
        <v>-57.179006788695538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3696</v>
      </c>
      <c r="D13" s="316">
        <f t="shared" si="5"/>
        <v>616</v>
      </c>
      <c r="E13" s="316">
        <f t="shared" si="0"/>
        <v>3080</v>
      </c>
      <c r="F13" s="314"/>
      <c r="G13" s="318">
        <f ca="1">DATA!$D$11/1000000</f>
        <v>1.2677076139279999</v>
      </c>
      <c r="H13" s="318">
        <f>C13*DATA!$D$5/1000000</f>
        <v>4.0069261695968148</v>
      </c>
      <c r="I13" s="318">
        <f>(C13*DATA!$D$5*DATA!$D$7)/1000000</f>
        <v>9.0155838815928327E-2</v>
      </c>
      <c r="J13" s="316">
        <f t="shared" ca="1" si="1"/>
        <v>5.3647896223407425</v>
      </c>
      <c r="K13" s="314"/>
      <c r="L13" s="316">
        <f>((D13*DATA!$D$23)/1000000)+((E13*DATA!$D$24)/1000000)</f>
        <v>5.3396112000000002</v>
      </c>
      <c r="M13" s="316">
        <f t="shared" si="2"/>
        <v>5.3396112000000002</v>
      </c>
      <c r="N13" s="316">
        <f t="shared" ca="1" si="6"/>
        <v>-2.5178422340742301E-2</v>
      </c>
      <c r="O13" s="315">
        <f>1/(1+'[93]Asumsi I'!$C$3)^(KKF!A13)</f>
        <v>0.50663112117732068</v>
      </c>
      <c r="P13" s="316">
        <f t="shared" ca="1" si="7"/>
        <v>-1.2756172339966371E-2</v>
      </c>
      <c r="Q13" s="316">
        <f t="shared" ca="1" si="9"/>
        <v>-57.191762961035508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3696</v>
      </c>
      <c r="D14" s="316">
        <f t="shared" si="5"/>
        <v>616</v>
      </c>
      <c r="E14" s="316">
        <f t="shared" si="0"/>
        <v>3080</v>
      </c>
      <c r="F14" s="314"/>
      <c r="G14" s="318">
        <f ca="1">DATA!$D$11/1000000</f>
        <v>1.2677076139279999</v>
      </c>
      <c r="H14" s="318">
        <f>C14*DATA!$D$5/1000000</f>
        <v>4.0069261695968148</v>
      </c>
      <c r="I14" s="318">
        <f>(C14*DATA!$D$5*DATA!$D$7)/1000000</f>
        <v>9.0155838815928327E-2</v>
      </c>
      <c r="J14" s="316">
        <f t="shared" ca="1" si="1"/>
        <v>5.3647896223407425</v>
      </c>
      <c r="K14" s="314"/>
      <c r="L14" s="316">
        <f>((D14*DATA!$D$23)/1000000)+((E14*DATA!$D$24)/1000000)</f>
        <v>5.3396112000000002</v>
      </c>
      <c r="M14" s="316">
        <f t="shared" si="2"/>
        <v>5.3396112000000002</v>
      </c>
      <c r="N14" s="316">
        <f t="shared" ca="1" si="6"/>
        <v>-2.5178422340742301E-2</v>
      </c>
      <c r="O14" s="315">
        <f>1/(1+'[93]Asumsi I'!$C$3)^(KKF!A14)</f>
        <v>0.45234921533689343</v>
      </c>
      <c r="P14" s="316">
        <f t="shared" ca="1" si="7"/>
        <v>-1.1389439589255687E-2</v>
      </c>
      <c r="Q14" s="316">
        <f t="shared" ca="1" si="9"/>
        <v>-57.203152400624766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3696</v>
      </c>
      <c r="D15" s="316">
        <f t="shared" si="5"/>
        <v>616</v>
      </c>
      <c r="E15" s="316">
        <f t="shared" si="0"/>
        <v>3080</v>
      </c>
      <c r="F15" s="314"/>
      <c r="G15" s="318">
        <f ca="1">DATA!$D$11/1000000</f>
        <v>1.2677076139279999</v>
      </c>
      <c r="H15" s="318">
        <f>C15*DATA!$D$5/1000000</f>
        <v>4.0069261695968148</v>
      </c>
      <c r="I15" s="318">
        <f>(C15*DATA!$D$5*DATA!$D$7)/1000000</f>
        <v>9.0155838815928327E-2</v>
      </c>
      <c r="J15" s="316">
        <f t="shared" ca="1" si="1"/>
        <v>5.3647896223407425</v>
      </c>
      <c r="K15" s="314"/>
      <c r="L15" s="316">
        <f>((D15*DATA!$D$23)/1000000)+((E15*DATA!$D$24)/1000000)</f>
        <v>5.3396112000000002</v>
      </c>
      <c r="M15" s="316">
        <f t="shared" si="2"/>
        <v>5.3396112000000002</v>
      </c>
      <c r="N15" s="316">
        <f t="shared" ca="1" si="6"/>
        <v>-2.5178422340742301E-2</v>
      </c>
      <c r="O15" s="315">
        <f>1/(1+'[93]Asumsi I'!$C$3)^(KKF!A15)</f>
        <v>0.4038832279793691</v>
      </c>
      <c r="P15" s="316">
        <f t="shared" ca="1" si="7"/>
        <v>-1.0169142490406863E-2</v>
      </c>
      <c r="Q15" s="316">
        <f t="shared" ca="1" si="9"/>
        <v>-57.213321543115171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3696</v>
      </c>
      <c r="D16" s="316">
        <f t="shared" si="5"/>
        <v>616</v>
      </c>
      <c r="E16" s="316">
        <f t="shared" si="0"/>
        <v>3080</v>
      </c>
      <c r="F16" s="314"/>
      <c r="G16" s="318">
        <f ca="1">DATA!$D$11/1000000</f>
        <v>1.2677076139279999</v>
      </c>
      <c r="H16" s="318">
        <f>C16*DATA!$D$5/1000000</f>
        <v>4.0069261695968148</v>
      </c>
      <c r="I16" s="318">
        <f>(C16*DATA!$D$5*DATA!$D$7)/1000000</f>
        <v>9.0155838815928327E-2</v>
      </c>
      <c r="J16" s="316">
        <f t="shared" ca="1" si="1"/>
        <v>5.3647896223407425</v>
      </c>
      <c r="K16" s="314"/>
      <c r="L16" s="316">
        <f>((D16*DATA!$D$23)/1000000)+((E16*DATA!$D$24)/1000000)</f>
        <v>5.3396112000000002</v>
      </c>
      <c r="M16" s="316">
        <f t="shared" si="2"/>
        <v>5.3396112000000002</v>
      </c>
      <c r="N16" s="316">
        <f t="shared" ca="1" si="6"/>
        <v>-2.5178422340742301E-2</v>
      </c>
      <c r="O16" s="315">
        <f>1/(1+'[93]Asumsi I'!$C$3)^(KKF!A16)</f>
        <v>0.36061002498157957</v>
      </c>
      <c r="P16" s="316">
        <f t="shared" ca="1" si="7"/>
        <v>-9.0795915092918428E-3</v>
      </c>
      <c r="Q16" s="316">
        <f t="shared" ca="1" si="9"/>
        <v>-57.222401134624462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3696</v>
      </c>
      <c r="D17" s="316">
        <f t="shared" si="5"/>
        <v>616</v>
      </c>
      <c r="E17" s="316">
        <f t="shared" si="0"/>
        <v>3080</v>
      </c>
      <c r="F17" s="314"/>
      <c r="G17" s="318">
        <f ca="1">DATA!$D$11/1000000</f>
        <v>1.2677076139279999</v>
      </c>
      <c r="H17" s="318">
        <f>C17*DATA!$D$5/1000000</f>
        <v>4.0069261695968148</v>
      </c>
      <c r="I17" s="318">
        <f>(C17*DATA!$D$5*DATA!$D$7)/1000000</f>
        <v>9.0155838815928327E-2</v>
      </c>
      <c r="J17" s="316">
        <f t="shared" ca="1" si="1"/>
        <v>5.3647896223407425</v>
      </c>
      <c r="K17" s="314"/>
      <c r="L17" s="316">
        <f>((D17*DATA!$D$23)/1000000)+((E17*DATA!$D$24)/1000000)</f>
        <v>5.3396112000000002</v>
      </c>
      <c r="M17" s="316">
        <f t="shared" si="2"/>
        <v>5.3396112000000002</v>
      </c>
      <c r="N17" s="316">
        <f t="shared" ca="1" si="6"/>
        <v>-2.5178422340742301E-2</v>
      </c>
      <c r="O17" s="315">
        <f>1/(1+'[93]Asumsi I'!$C$3)^(KKF!A17)</f>
        <v>0.32197323659069599</v>
      </c>
      <c r="P17" s="316">
        <f t="shared" ca="1" si="7"/>
        <v>-8.1067781332962857E-3</v>
      </c>
      <c r="Q17" s="316">
        <f t="shared" ca="1" si="9"/>
        <v>-57.230507912757759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3696</v>
      </c>
      <c r="D18" s="316">
        <f t="shared" si="5"/>
        <v>616</v>
      </c>
      <c r="E18" s="316">
        <f t="shared" si="0"/>
        <v>3080</v>
      </c>
      <c r="F18" s="314"/>
      <c r="G18" s="318">
        <f ca="1">DATA!$D$11/1000000</f>
        <v>1.2677076139279999</v>
      </c>
      <c r="H18" s="318">
        <f>C18*DATA!$D$5/1000000</f>
        <v>4.0069261695968148</v>
      </c>
      <c r="I18" s="318">
        <f>(C18*DATA!$D$5*DATA!$D$7)/1000000</f>
        <v>9.0155838815928327E-2</v>
      </c>
      <c r="J18" s="316">
        <f t="shared" ca="1" si="1"/>
        <v>5.3647896223407425</v>
      </c>
      <c r="K18" s="314"/>
      <c r="L18" s="316">
        <f>((D18*DATA!$D$23)/1000000)+((E18*DATA!$D$24)/1000000)</f>
        <v>5.3396112000000002</v>
      </c>
      <c r="M18" s="316">
        <f t="shared" si="2"/>
        <v>5.3396112000000002</v>
      </c>
      <c r="N18" s="316">
        <f t="shared" ca="1" si="6"/>
        <v>-2.5178422340742301E-2</v>
      </c>
      <c r="O18" s="315">
        <f>1/(1+'[93]Asumsi I'!$C$3)^(KKF!A18)</f>
        <v>0.28747610409883567</v>
      </c>
      <c r="P18" s="316">
        <f t="shared" ca="1" si="7"/>
        <v>-7.2381947618716837E-3</v>
      </c>
      <c r="Q18" s="316">
        <f t="shared" ca="1" si="9"/>
        <v>-57.237746107519634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3696</v>
      </c>
      <c r="D19" s="316">
        <f t="shared" si="5"/>
        <v>616</v>
      </c>
      <c r="E19" s="316">
        <f t="shared" si="0"/>
        <v>3080</v>
      </c>
      <c r="F19" s="314"/>
      <c r="G19" s="318">
        <f ca="1">DATA!$D$11/1000000</f>
        <v>1.2677076139279999</v>
      </c>
      <c r="H19" s="318">
        <f>C19*DATA!$D$5/1000000</f>
        <v>4.0069261695968148</v>
      </c>
      <c r="I19" s="318">
        <f>(C19*DATA!$D$5*DATA!$D$7)/1000000</f>
        <v>9.0155838815928327E-2</v>
      </c>
      <c r="J19" s="316">
        <f t="shared" ca="1" si="1"/>
        <v>5.3647896223407425</v>
      </c>
      <c r="K19" s="314"/>
      <c r="L19" s="316">
        <f>((D19*DATA!$D$23)/1000000)+((E19*DATA!$D$24)/1000000)</f>
        <v>5.3396112000000002</v>
      </c>
      <c r="M19" s="316">
        <f t="shared" si="2"/>
        <v>5.3396112000000002</v>
      </c>
      <c r="N19" s="316">
        <f t="shared" ca="1" si="6"/>
        <v>-2.5178422340742301E-2</v>
      </c>
      <c r="O19" s="315">
        <f>1/(1+'[93]Asumsi I'!$C$3)^(KKF!A19)</f>
        <v>0.25667509294538904</v>
      </c>
      <c r="P19" s="316">
        <f t="shared" ca="1" si="7"/>
        <v>-6.4626738945282904E-3</v>
      </c>
      <c r="Q19" s="316">
        <f t="shared" ca="1" si="9"/>
        <v>-57.244208781414159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3696</v>
      </c>
      <c r="D20" s="316">
        <f t="shared" si="5"/>
        <v>616</v>
      </c>
      <c r="E20" s="316">
        <f t="shared" si="0"/>
        <v>3080</v>
      </c>
      <c r="F20" s="314"/>
      <c r="G20" s="318">
        <f ca="1">DATA!$D$11/1000000</f>
        <v>1.2677076139279999</v>
      </c>
      <c r="H20" s="318">
        <f>C20*DATA!$D$5/1000000</f>
        <v>4.0069261695968148</v>
      </c>
      <c r="I20" s="318">
        <f>(C20*DATA!$D$5*DATA!$D$7)/1000000</f>
        <v>9.0155838815928327E-2</v>
      </c>
      <c r="J20" s="316">
        <f t="shared" ca="1" si="1"/>
        <v>5.3647896223407425</v>
      </c>
      <c r="K20" s="314"/>
      <c r="L20" s="316">
        <f>((D20*DATA!$D$23)/1000000)+((E20*DATA!$D$24)/1000000)</f>
        <v>5.3396112000000002</v>
      </c>
      <c r="M20" s="316">
        <f t="shared" si="2"/>
        <v>5.3396112000000002</v>
      </c>
      <c r="N20" s="316">
        <f t="shared" ca="1" si="6"/>
        <v>-2.5178422340742301E-2</v>
      </c>
      <c r="O20" s="315">
        <f>1/(1+'[93]Asumsi I'!$C$3)^(KKF!A20)</f>
        <v>0.22917419012981158</v>
      </c>
      <c r="P20" s="316">
        <f t="shared" ca="1" si="7"/>
        <v>-5.7702445486859716E-3</v>
      </c>
      <c r="Q20" s="316">
        <f t="shared" ca="1" si="9"/>
        <v>-57.249979025962844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3696</v>
      </c>
      <c r="D21" s="316">
        <f t="shared" si="5"/>
        <v>616</v>
      </c>
      <c r="E21" s="316">
        <f t="shared" si="0"/>
        <v>3080</v>
      </c>
      <c r="F21" s="314"/>
      <c r="G21" s="318">
        <f ca="1">DATA!$D$11/1000000</f>
        <v>1.2677076139279999</v>
      </c>
      <c r="H21" s="318">
        <f>C21*DATA!$D$5/1000000</f>
        <v>4.0069261695968148</v>
      </c>
      <c r="I21" s="318">
        <f>(C21*DATA!$D$5*DATA!$D$7)/1000000</f>
        <v>9.0155838815928327E-2</v>
      </c>
      <c r="J21" s="316">
        <f t="shared" ca="1" si="1"/>
        <v>5.3647896223407425</v>
      </c>
      <c r="K21" s="314"/>
      <c r="L21" s="316">
        <f>((D21*DATA!$D$23)/1000000)+((E21*DATA!$D$24)/1000000)</f>
        <v>5.3396112000000002</v>
      </c>
      <c r="M21" s="316">
        <f t="shared" si="2"/>
        <v>5.3396112000000002</v>
      </c>
      <c r="N21" s="316">
        <f t="shared" ca="1" si="6"/>
        <v>-2.5178422340742301E-2</v>
      </c>
      <c r="O21" s="315">
        <f>1/(1+'[93]Asumsi I'!$C$3)^(KKF!A21)</f>
        <v>0.20461981261590317</v>
      </c>
      <c r="P21" s="316">
        <f t="shared" ca="1" si="7"/>
        <v>-5.1520040613267596E-3</v>
      </c>
      <c r="Q21" s="316">
        <f t="shared" ca="1" si="9"/>
        <v>-57.255131030024174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3696</v>
      </c>
      <c r="D22" s="316">
        <f t="shared" si="5"/>
        <v>616</v>
      </c>
      <c r="E22" s="316">
        <f t="shared" si="0"/>
        <v>3080</v>
      </c>
      <c r="F22" s="314"/>
      <c r="G22" s="318">
        <f ca="1">DATA!$D$11/1000000</f>
        <v>1.2677076139279999</v>
      </c>
      <c r="H22" s="318">
        <f>C22*DATA!$D$5/1000000</f>
        <v>4.0069261695968148</v>
      </c>
      <c r="I22" s="318">
        <f>(C22*DATA!$D$5*DATA!$D$7)/1000000</f>
        <v>9.0155838815928327E-2</v>
      </c>
      <c r="J22" s="316">
        <f t="shared" ca="1" si="1"/>
        <v>5.3647896223407425</v>
      </c>
      <c r="K22" s="314"/>
      <c r="L22" s="316">
        <f>((D22*DATA!$D$23)/1000000)+((E22*DATA!$D$24)/1000000)</f>
        <v>5.3396112000000002</v>
      </c>
      <c r="M22" s="316">
        <f t="shared" si="2"/>
        <v>5.3396112000000002</v>
      </c>
      <c r="N22" s="316">
        <f t="shared" ca="1" si="6"/>
        <v>-2.5178422340742301E-2</v>
      </c>
      <c r="O22" s="315">
        <f>1/(1+'[93]Asumsi I'!$C$3)^(KKF!A22)</f>
        <v>0.18269626126419927</v>
      </c>
      <c r="P22" s="316">
        <f t="shared" ca="1" si="7"/>
        <v>-4.6000036261846068E-3</v>
      </c>
      <c r="Q22" s="316">
        <f t="shared" ca="1" si="9"/>
        <v>-57.259731033650361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3696</v>
      </c>
      <c r="D23" s="316">
        <f t="shared" si="5"/>
        <v>616</v>
      </c>
      <c r="E23" s="316">
        <f t="shared" si="0"/>
        <v>3080</v>
      </c>
      <c r="F23" s="314"/>
      <c r="G23" s="318">
        <f ca="1">DATA!$D$11/1000000</f>
        <v>1.2677076139279999</v>
      </c>
      <c r="H23" s="318">
        <f>C23*DATA!$D$5/1000000</f>
        <v>4.0069261695968148</v>
      </c>
      <c r="I23" s="318">
        <f>(C23*DATA!$D$5*DATA!$D$7)/1000000</f>
        <v>9.0155838815928327E-2</v>
      </c>
      <c r="J23" s="316">
        <f t="shared" ca="1" si="1"/>
        <v>5.3647896223407425</v>
      </c>
      <c r="K23" s="314"/>
      <c r="L23" s="316">
        <f>((D23*DATA!$D$23)/1000000)+((E23*DATA!$D$24)/1000000)</f>
        <v>5.3396112000000002</v>
      </c>
      <c r="M23" s="316">
        <f t="shared" si="2"/>
        <v>5.3396112000000002</v>
      </c>
      <c r="N23" s="316">
        <f t="shared" ca="1" si="6"/>
        <v>-2.5178422340742301E-2</v>
      </c>
      <c r="O23" s="315">
        <f>1/(1+'[93]Asumsi I'!$C$3)^(KKF!A23)</f>
        <v>0.16312166184303503</v>
      </c>
      <c r="P23" s="316">
        <f t="shared" ca="1" si="7"/>
        <v>-4.1071460948076842E-3</v>
      </c>
      <c r="Q23" s="316">
        <f t="shared" ca="1" si="9"/>
        <v>-57.263838179745171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3696</v>
      </c>
      <c r="D24" s="316">
        <f t="shared" si="5"/>
        <v>616</v>
      </c>
      <c r="E24" s="316">
        <f t="shared" si="0"/>
        <v>3080</v>
      </c>
      <c r="F24" s="314"/>
      <c r="G24" s="318">
        <f ca="1">DATA!$D$11/1000000</f>
        <v>1.2677076139279999</v>
      </c>
      <c r="H24" s="318">
        <f>C24*DATA!$D$5/1000000</f>
        <v>4.0069261695968148</v>
      </c>
      <c r="I24" s="318">
        <f>(C24*DATA!$D$5*DATA!$D$7)/1000000</f>
        <v>9.0155838815928327E-2</v>
      </c>
      <c r="J24" s="316">
        <f t="shared" ca="1" si="1"/>
        <v>5.3647896223407425</v>
      </c>
      <c r="K24" s="314"/>
      <c r="L24" s="316">
        <f>((D24*DATA!$D$23)/1000000)+((E24*DATA!$D$24)/1000000)</f>
        <v>5.3396112000000002</v>
      </c>
      <c r="M24" s="316">
        <f t="shared" si="2"/>
        <v>5.3396112000000002</v>
      </c>
      <c r="N24" s="316">
        <f t="shared" ca="1" si="6"/>
        <v>-2.5178422340742301E-2</v>
      </c>
      <c r="O24" s="315">
        <f>1/(1+'[93]Asumsi I'!$C$3)^(KKF!A24)</f>
        <v>0.14564434093128129</v>
      </c>
      <c r="P24" s="316">
        <f t="shared" ca="1" si="7"/>
        <v>-3.6670947275068613E-3</v>
      </c>
      <c r="Q24" s="316">
        <f t="shared" ca="1" si="9"/>
        <v>-57.267505274472676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3696</v>
      </c>
      <c r="D25" s="316">
        <f t="shared" si="5"/>
        <v>616</v>
      </c>
      <c r="E25" s="316">
        <f t="shared" si="0"/>
        <v>3080</v>
      </c>
      <c r="F25" s="314"/>
      <c r="G25" s="318">
        <f ca="1">DATA!$D$11/1000000</f>
        <v>1.2677076139279999</v>
      </c>
      <c r="H25" s="318">
        <f>C25*DATA!$D$5/1000000</f>
        <v>4.0069261695968148</v>
      </c>
      <c r="I25" s="318">
        <f>(C25*DATA!$D$5*DATA!$D$7)/1000000</f>
        <v>9.0155838815928327E-2</v>
      </c>
      <c r="J25" s="316">
        <f t="shared" ca="1" si="1"/>
        <v>5.3647896223407425</v>
      </c>
      <c r="K25" s="314"/>
      <c r="L25" s="316">
        <f>((D25*DATA!$D$23)/1000000)+((E25*DATA!$D$24)/1000000)</f>
        <v>5.3396112000000002</v>
      </c>
      <c r="M25" s="316">
        <f t="shared" si="2"/>
        <v>5.3396112000000002</v>
      </c>
      <c r="N25" s="316">
        <f t="shared" ca="1" si="6"/>
        <v>-2.5178422340742301E-2</v>
      </c>
      <c r="O25" s="315">
        <f>1/(1+'[93]Asumsi I'!$C$3)^(KKF!A25)</f>
        <v>0.13003959011721541</v>
      </c>
      <c r="P25" s="316">
        <f t="shared" ca="1" si="7"/>
        <v>-3.2741917209882683E-3</v>
      </c>
      <c r="Q25" s="316">
        <f t="shared" ca="1" si="9"/>
        <v>-57.270779466193666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3696</v>
      </c>
      <c r="D26" s="316">
        <f t="shared" si="5"/>
        <v>616</v>
      </c>
      <c r="E26" s="316">
        <f t="shared" si="0"/>
        <v>3080</v>
      </c>
      <c r="F26" s="314"/>
      <c r="G26" s="318">
        <f ca="1">DATA!$D$11/1000000</f>
        <v>1.2677076139279999</v>
      </c>
      <c r="H26" s="318">
        <f>C26*DATA!$D$5/1000000</f>
        <v>4.0069261695968148</v>
      </c>
      <c r="I26" s="318">
        <f>(C26*DATA!$D$5*DATA!$D$7)/1000000</f>
        <v>9.0155838815928327E-2</v>
      </c>
      <c r="J26" s="316">
        <f t="shared" ca="1" si="1"/>
        <v>5.3647896223407425</v>
      </c>
      <c r="K26" s="314"/>
      <c r="L26" s="316">
        <f>((D26*DATA!$D$23)/1000000)+((E26*DATA!$D$24)/1000000)</f>
        <v>5.3396112000000002</v>
      </c>
      <c r="M26" s="316">
        <f t="shared" si="2"/>
        <v>5.3396112000000002</v>
      </c>
      <c r="N26" s="316">
        <f t="shared" ca="1" si="6"/>
        <v>-2.5178422340742301E-2</v>
      </c>
      <c r="O26" s="315">
        <f>1/(1+'[93]Asumsi I'!$C$3)^(KKF!A26)</f>
        <v>0.1161067768903709</v>
      </c>
      <c r="P26" s="316">
        <f t="shared" ca="1" si="7"/>
        <v>-2.9233854651680964E-3</v>
      </c>
      <c r="Q26" s="316">
        <f t="shared" ca="1" si="9"/>
        <v>-57.273702851658832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3696</v>
      </c>
      <c r="D27" s="316">
        <f t="shared" si="5"/>
        <v>616</v>
      </c>
      <c r="E27" s="316">
        <f t="shared" si="0"/>
        <v>3080</v>
      </c>
      <c r="F27" s="314"/>
      <c r="G27" s="318">
        <f ca="1">DATA!$D$11/1000000</f>
        <v>1.2677076139279999</v>
      </c>
      <c r="H27" s="318">
        <f>C27*DATA!$D$5/1000000</f>
        <v>4.0069261695968148</v>
      </c>
      <c r="I27" s="318">
        <f>(C27*DATA!$D$5*DATA!$D$7)/1000000</f>
        <v>9.0155838815928327E-2</v>
      </c>
      <c r="J27" s="316">
        <f t="shared" ca="1" si="1"/>
        <v>5.3647896223407425</v>
      </c>
      <c r="K27" s="314"/>
      <c r="L27" s="316">
        <f>((D27*DATA!$D$23)/1000000)+((E27*DATA!$D$24)/1000000)</f>
        <v>5.3396112000000002</v>
      </c>
      <c r="M27" s="316">
        <f t="shared" si="2"/>
        <v>5.3396112000000002</v>
      </c>
      <c r="N27" s="316">
        <f t="shared" ca="1" si="6"/>
        <v>-2.5178422340742301E-2</v>
      </c>
      <c r="O27" s="315">
        <f>1/(1+'[93]Asumsi I'!$C$3)^(KKF!A27)</f>
        <v>0.1036667650806883</v>
      </c>
      <c r="P27" s="316">
        <f t="shared" ca="1" si="7"/>
        <v>-2.610165593900086E-3</v>
      </c>
      <c r="Q27" s="316">
        <f t="shared" ca="1" si="9"/>
        <v>-57.276313017252733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3696</v>
      </c>
      <c r="D28" s="316">
        <f t="shared" si="5"/>
        <v>616</v>
      </c>
      <c r="E28" s="316">
        <f t="shared" si="0"/>
        <v>3080</v>
      </c>
      <c r="F28" s="314"/>
      <c r="G28" s="318">
        <f ca="1">DATA!$D$11/1000000</f>
        <v>1.2677076139279999</v>
      </c>
      <c r="H28" s="318">
        <f>C28*DATA!$D$5/1000000</f>
        <v>4.0069261695968148</v>
      </c>
      <c r="I28" s="318">
        <f>(C28*DATA!$D$5*DATA!$D$7)/1000000</f>
        <v>9.0155838815928327E-2</v>
      </c>
      <c r="J28" s="316">
        <f t="shared" ca="1" si="1"/>
        <v>5.3647896223407425</v>
      </c>
      <c r="K28" s="314"/>
      <c r="L28" s="316">
        <f>((D28*DATA!$D$23)/1000000)+((E28*DATA!$D$24)/1000000)</f>
        <v>5.3396112000000002</v>
      </c>
      <c r="M28" s="316">
        <f t="shared" si="2"/>
        <v>5.3396112000000002</v>
      </c>
      <c r="N28" s="316">
        <f t="shared" ca="1" si="6"/>
        <v>-2.5178422340742301E-2</v>
      </c>
      <c r="O28" s="315">
        <f>1/(1+'[93]Asumsi I'!$C$3)^(KKF!A28)</f>
        <v>9.2559611679185971E-2</v>
      </c>
      <c r="P28" s="316">
        <f t="shared" ca="1" si="7"/>
        <v>-2.3305049945536479E-3</v>
      </c>
      <c r="Q28" s="316">
        <f t="shared" ca="1" si="9"/>
        <v>-57.278643522247286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3696</v>
      </c>
      <c r="D29" s="316">
        <f t="shared" si="5"/>
        <v>616</v>
      </c>
      <c r="E29" s="316">
        <f t="shared" si="0"/>
        <v>3080</v>
      </c>
      <c r="F29" s="314"/>
      <c r="G29" s="318">
        <f ca="1">DATA!$D$11/1000000</f>
        <v>1.2677076139279999</v>
      </c>
      <c r="H29" s="318">
        <f>C29*DATA!$D$5/1000000</f>
        <v>4.0069261695968148</v>
      </c>
      <c r="I29" s="318">
        <f>(C29*DATA!$D$5*DATA!$D$7)/1000000</f>
        <v>9.0155838815928327E-2</v>
      </c>
      <c r="J29" s="316">
        <f t="shared" ca="1" si="1"/>
        <v>5.3647896223407425</v>
      </c>
      <c r="K29" s="314"/>
      <c r="L29" s="316">
        <f>((D29*DATA!$D$23)/1000000)+((E29*DATA!$D$24)/1000000)</f>
        <v>5.3396112000000002</v>
      </c>
      <c r="M29" s="316">
        <f t="shared" si="2"/>
        <v>5.3396112000000002</v>
      </c>
      <c r="N29" s="316">
        <f t="shared" ca="1" si="6"/>
        <v>-2.5178422340742301E-2</v>
      </c>
      <c r="O29" s="315">
        <f>1/(1+'[93]Asumsi I'!$C$3)^(KKF!A29)</f>
        <v>8.2642510427844609E-2</v>
      </c>
      <c r="P29" s="316">
        <f t="shared" ca="1" si="7"/>
        <v>-2.0808080308514715E-3</v>
      </c>
      <c r="Q29" s="316">
        <f t="shared" ca="1" si="9"/>
        <v>-57.28072433027814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3696</v>
      </c>
      <c r="D30" s="316">
        <f t="shared" si="5"/>
        <v>616</v>
      </c>
      <c r="E30" s="316">
        <f t="shared" si="0"/>
        <v>3080</v>
      </c>
      <c r="F30" s="314"/>
      <c r="G30" s="318">
        <f ca="1">DATA!$D$11/1000000</f>
        <v>1.2677076139279999</v>
      </c>
      <c r="H30" s="318">
        <f>C30*DATA!$D$5/1000000</f>
        <v>4.0069261695968148</v>
      </c>
      <c r="I30" s="318">
        <f>(C30*DATA!$D$5*DATA!$D$7)/1000000</f>
        <v>9.0155838815928327E-2</v>
      </c>
      <c r="J30" s="316">
        <f t="shared" ca="1" si="1"/>
        <v>5.3647896223407425</v>
      </c>
      <c r="K30" s="314"/>
      <c r="L30" s="316">
        <f>((D30*DATA!$D$23)/1000000)+((E30*DATA!$D$24)/1000000)</f>
        <v>5.3396112000000002</v>
      </c>
      <c r="M30" s="316">
        <f t="shared" si="2"/>
        <v>5.3396112000000002</v>
      </c>
      <c r="N30" s="316">
        <f t="shared" ca="1" si="6"/>
        <v>-2.5178422340742301E-2</v>
      </c>
      <c r="O30" s="315">
        <f>1/(1+'[93]Asumsi I'!$C$3)^(KKF!A30)</f>
        <v>7.3787955739146982E-2</v>
      </c>
      <c r="P30" s="316">
        <f t="shared" ca="1" si="7"/>
        <v>-1.8578643132602425E-3</v>
      </c>
      <c r="Q30" s="316">
        <f t="shared" ca="1" si="9"/>
        <v>-57.282582194591399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3696</v>
      </c>
      <c r="D31" s="316">
        <f t="shared" si="5"/>
        <v>616</v>
      </c>
      <c r="E31" s="316">
        <f t="shared" si="0"/>
        <v>3080</v>
      </c>
      <c r="F31" s="314"/>
      <c r="G31" s="318">
        <f ca="1">DATA!$D$11/1000000</f>
        <v>1.2677076139279999</v>
      </c>
      <c r="H31" s="318">
        <f>C31*DATA!$D$5/1000000</f>
        <v>4.0069261695968148</v>
      </c>
      <c r="I31" s="318">
        <f>(C31*DATA!$D$5*DATA!$D$7)/1000000</f>
        <v>9.0155838815928327E-2</v>
      </c>
      <c r="J31" s="316">
        <f t="shared" ca="1" si="1"/>
        <v>5.3647896223407425</v>
      </c>
      <c r="K31" s="314"/>
      <c r="L31" s="316">
        <f>((D31*DATA!$D$23)/1000000)+((E31*DATA!$D$24)/1000000)</f>
        <v>5.3396112000000002</v>
      </c>
      <c r="M31" s="316">
        <f t="shared" si="2"/>
        <v>5.3396112000000002</v>
      </c>
      <c r="N31" s="316">
        <f t="shared" ca="1" si="6"/>
        <v>-2.5178422340742301E-2</v>
      </c>
      <c r="O31" s="315">
        <f>1/(1+'[93]Asumsi I'!$C$3)^(KKF!A31)</f>
        <v>6.5882103338524081E-2</v>
      </c>
      <c r="P31" s="316">
        <f t="shared" ca="1" si="7"/>
        <v>-1.6588074225537877E-3</v>
      </c>
      <c r="Q31" s="316">
        <f ca="1">Q30+P31</f>
        <v>-57.28424100201395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3696</v>
      </c>
      <c r="D32" s="316">
        <f t="shared" si="5"/>
        <v>616</v>
      </c>
      <c r="E32" s="316">
        <f t="shared" si="0"/>
        <v>3080</v>
      </c>
      <c r="F32" s="314"/>
      <c r="G32" s="318">
        <f ca="1">DATA!$D$11/1000000</f>
        <v>1.2677076139279999</v>
      </c>
      <c r="H32" s="318">
        <f>C32*DATA!$D$5/1000000</f>
        <v>4.0069261695968148</v>
      </c>
      <c r="I32" s="318">
        <f>(C32*DATA!$D$5*DATA!$D$7)/1000000</f>
        <v>9.0155838815928327E-2</v>
      </c>
      <c r="J32" s="316">
        <f t="shared" ca="1" si="1"/>
        <v>5.3647896223407425</v>
      </c>
      <c r="K32" s="314"/>
      <c r="L32" s="316">
        <f>((D32*DATA!$D$23)/1000000)+((E32*DATA!$D$24)/1000000)</f>
        <v>5.3396112000000002</v>
      </c>
      <c r="M32" s="316">
        <f t="shared" si="2"/>
        <v>5.3396112000000002</v>
      </c>
      <c r="N32" s="316">
        <f t="shared" ca="1" si="6"/>
        <v>-2.5178422340742301E-2</v>
      </c>
      <c r="O32" s="315">
        <f>1/(1+'[93]Asumsi I'!$C$3)^(KKF!A32)</f>
        <v>5.8823306552253637E-2</v>
      </c>
      <c r="P32" s="316">
        <f t="shared" ca="1" si="7"/>
        <v>-1.481078055851596E-3</v>
      </c>
      <c r="Q32" s="316">
        <f ca="1">Q31+P32</f>
        <v>-57.285722080069803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4" t="s">
        <v>1374</v>
      </c>
      <c r="G33" s="614"/>
      <c r="H33" s="614"/>
      <c r="I33" s="324"/>
      <c r="J33" s="325">
        <f ca="1">SUM(J7:J32)</f>
        <v>199.11425236954747</v>
      </c>
      <c r="K33" s="614" t="s">
        <v>1375</v>
      </c>
      <c r="L33" s="614"/>
      <c r="M33" s="325">
        <f>SUM(M7:M32)</f>
        <v>141.3965476000001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-2581.3575978451436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0.71012770767194611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-51.147966142919465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2"/>
  <sheetViews>
    <sheetView showGridLines="0" zoomScale="85" zoomScaleNormal="85" zoomScaleSheetLayoutView="70" workbookViewId="0">
      <pane ySplit="13" topLeftCell="A107" activePane="bottomLeft" state="frozen"/>
      <selection activeCell="H1093" sqref="H1093"/>
      <selection pane="bottomLeft" activeCell="I113" sqref="I113:K119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7" t="s">
        <v>1036</v>
      </c>
      <c r="P3" s="637"/>
      <c r="Q3" s="346"/>
      <c r="T3" s="344"/>
      <c r="U3" s="345" t="s">
        <v>1041</v>
      </c>
      <c r="V3" s="344"/>
    </row>
    <row r="4" spans="1:22" ht="15.75" customHeight="1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1" t="str">
        <f>DATA!D14</f>
        <v xml:space="preserve"> ERA ISNAINI (GUDANG ROSOK)</v>
      </c>
      <c r="H6" s="621"/>
      <c r="I6" s="621"/>
      <c r="J6" s="621"/>
      <c r="K6" s="62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0" t="s">
        <v>0</v>
      </c>
      <c r="C11" s="642" t="s">
        <v>1</v>
      </c>
      <c r="D11" s="631" t="s">
        <v>42</v>
      </c>
      <c r="E11" s="631" t="s">
        <v>43</v>
      </c>
      <c r="F11" s="631" t="s">
        <v>2</v>
      </c>
      <c r="G11" s="645" t="s">
        <v>41</v>
      </c>
      <c r="H11" s="631" t="s">
        <v>3</v>
      </c>
      <c r="I11" s="631"/>
      <c r="J11" s="631"/>
      <c r="K11" s="63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1"/>
      <c r="C12" s="643"/>
      <c r="D12" s="635"/>
      <c r="E12" s="635"/>
      <c r="F12" s="635"/>
      <c r="G12" s="646"/>
      <c r="H12" s="633" t="s">
        <v>46</v>
      </c>
      <c r="I12" s="633" t="s">
        <v>5</v>
      </c>
      <c r="J12" s="635" t="s">
        <v>47</v>
      </c>
      <c r="K12" s="636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1"/>
      <c r="C13" s="644"/>
      <c r="D13" s="635"/>
      <c r="E13" s="635"/>
      <c r="F13" s="635"/>
      <c r="G13" s="647"/>
      <c r="H13" s="634"/>
      <c r="I13" s="634"/>
      <c r="J13" s="635"/>
      <c r="K13" s="636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7" ca="1" si="0">IF(OR(D14="MDU",D14="MDU-KD"),(IF($O$3="RAB NON MDU","PLN KD",G14*F14)),0)</f>
        <v>0</v>
      </c>
      <c r="I14" s="361">
        <f t="shared" ref="I14:I17" ca="1" si="1">IF(D14="HDW",G14*F14,0)</f>
        <v>0</v>
      </c>
      <c r="J14" s="361">
        <f t="shared" ref="J14:J17" ca="1" si="2">IF(D14="JASA",G14*F14,0)</f>
        <v>0</v>
      </c>
      <c r="K14" s="362">
        <f t="shared" ref="K14:K17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/>
      <c r="C16" s="367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0"/>
        <v>0</v>
      </c>
      <c r="I17" s="361">
        <f t="shared" ca="1" si="1"/>
        <v>5800000</v>
      </c>
      <c r="J17" s="361">
        <f t="shared" ca="1" si="2"/>
        <v>0</v>
      </c>
      <c r="K17" s="362">
        <f t="shared" ca="1" si="3"/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:H20" ca="1" si="4">IF(OR(D18="MDU",D18="MDU-KD"),(IF($O$3="RAB NON MDU","PLN KD",G18*F18)),0)</f>
        <v>0</v>
      </c>
      <c r="I18" s="361">
        <f t="shared" ref="I18:I20" ca="1" si="5">IF(D18="HDW",G18*F18,0)</f>
        <v>0</v>
      </c>
      <c r="J18" s="361">
        <f t="shared" ref="J18:J20" ca="1" si="6">IF(D18="JASA",G18*F18,0)</f>
        <v>10066.666666666668</v>
      </c>
      <c r="K18" s="362">
        <f t="shared" ref="K18:K20" ca="1" si="7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109"/>
      <c r="D19" s="358"/>
      <c r="E19" s="359"/>
      <c r="F19" s="368"/>
      <c r="G19" s="360"/>
      <c r="H19" s="361"/>
      <c r="I19" s="361"/>
      <c r="J19" s="361"/>
      <c r="K19" s="362"/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1607</v>
      </c>
      <c r="C20" s="367" t="s">
        <v>1613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4"/>
        <v>0</v>
      </c>
      <c r="I20" s="361">
        <f t="shared" ca="1" si="5"/>
        <v>0</v>
      </c>
      <c r="J20" s="361">
        <f t="shared" ca="1" si="6"/>
        <v>0</v>
      </c>
      <c r="K20" s="362">
        <f t="shared" ca="1" si="7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>
      <c r="B21" s="492"/>
      <c r="C21" s="495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46" ca="1" si="8">IF(OR(D21="MDU",D21="MDU-KD"),(IF($O$3="RAB NON MDU","PLN KD",G21*F21)),0)</f>
        <v>0</v>
      </c>
      <c r="I21" s="361">
        <f t="shared" ref="I21:I46" ca="1" si="9">IF(D21="HDW",G21*F21,0)</f>
        <v>0</v>
      </c>
      <c r="J21" s="361">
        <f t="shared" ref="J21:J46" ca="1" si="10">IF(D21="JASA",G21*F21,0)</f>
        <v>0</v>
      </c>
      <c r="K21" s="362">
        <f t="shared" ref="K21:K46" ca="1" si="11">SUM(H21:J21)</f>
        <v>0</v>
      </c>
    </row>
    <row r="22" spans="1:22">
      <c r="B22" s="502" t="s">
        <v>1035</v>
      </c>
      <c r="C22" s="499" t="s">
        <v>1614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497">
        <v>5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</row>
    <row r="23" spans="1:22">
      <c r="B23" s="502">
        <v>1</v>
      </c>
      <c r="C23" s="499" t="s">
        <v>229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7">
        <f>F22*1</f>
        <v>5</v>
      </c>
      <c r="G23" s="360">
        <f ca="1">IF(ISERROR(OFFSET('HARGA SATUAN'!$I$6,MATCH(RAB!C23,'HARGA SATUAN'!$C$7:$C$1492,0),0)),0,OFFSET('HARGA SATUAN'!$I$6,MATCH(RAB!C23,'HARGA SATUAN'!$C$7:$C$1492,0),0))</f>
        <v>4212</v>
      </c>
      <c r="H23" s="361">
        <f t="shared" ca="1" si="8"/>
        <v>0</v>
      </c>
      <c r="I23" s="361">
        <f t="shared" ca="1" si="9"/>
        <v>21060</v>
      </c>
      <c r="J23" s="361">
        <f t="shared" ca="1" si="10"/>
        <v>0</v>
      </c>
      <c r="K23" s="362">
        <f t="shared" ca="1" si="11"/>
        <v>21060</v>
      </c>
    </row>
    <row r="24" spans="1:22">
      <c r="B24" s="502">
        <v>2</v>
      </c>
      <c r="C24" s="499" t="s">
        <v>266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97">
        <f>F22*1</f>
        <v>5</v>
      </c>
      <c r="G24" s="360">
        <f ca="1">IF(ISERROR(OFFSET('HARGA SATUAN'!$I$6,MATCH(RAB!C24,'HARGA SATUAN'!$C$7:$C$1492,0),0)),0,OFFSET('HARGA SATUAN'!$I$6,MATCH(RAB!C24,'HARGA SATUAN'!$C$7:$C$1492,0),0))</f>
        <v>23310</v>
      </c>
      <c r="H24" s="361">
        <f t="shared" ca="1" si="8"/>
        <v>0</v>
      </c>
      <c r="I24" s="361">
        <f t="shared" ca="1" si="9"/>
        <v>116550</v>
      </c>
      <c r="J24" s="361">
        <f t="shared" ca="1" si="10"/>
        <v>0</v>
      </c>
      <c r="K24" s="362">
        <f t="shared" ca="1" si="11"/>
        <v>116550</v>
      </c>
    </row>
    <row r="25" spans="1:22">
      <c r="B25" s="502">
        <v>3</v>
      </c>
      <c r="C25" s="499" t="s">
        <v>35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7">
        <f>F22*1</f>
        <v>5</v>
      </c>
      <c r="G25" s="360">
        <f ca="1">IF(ISERROR(OFFSET('HARGA SATUAN'!$I$6,MATCH(RAB!C25,'HARGA SATUAN'!$C$7:$C$1492,0),0)),0,OFFSET('HARGA SATUAN'!$I$6,MATCH(RAB!C25,'HARGA SATUAN'!$C$7:$C$1492,0),0))</f>
        <v>2300</v>
      </c>
      <c r="H25" s="361">
        <f t="shared" ca="1" si="8"/>
        <v>0</v>
      </c>
      <c r="I25" s="361">
        <f t="shared" ca="1" si="9"/>
        <v>11500</v>
      </c>
      <c r="J25" s="361">
        <f t="shared" ca="1" si="10"/>
        <v>0</v>
      </c>
      <c r="K25" s="362">
        <f t="shared" ca="1" si="11"/>
        <v>11500</v>
      </c>
    </row>
    <row r="26" spans="1:22">
      <c r="B26" s="502">
        <v>4</v>
      </c>
      <c r="C26" s="499" t="s">
        <v>609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7">
        <f>F22*1</f>
        <v>5</v>
      </c>
      <c r="G26" s="360">
        <f ca="1">IF(ISERROR(OFFSET('HARGA SATUAN'!$I$6,MATCH(RAB!C26,'HARGA SATUAN'!$C$7:$C$1492,0),0)),0,OFFSET('HARGA SATUAN'!$I$6,MATCH(RAB!C26,'HARGA SATUAN'!$C$7:$C$1492,0),0))</f>
        <v>71000</v>
      </c>
      <c r="H26" s="361">
        <f t="shared" ca="1" si="8"/>
        <v>0</v>
      </c>
      <c r="I26" s="361">
        <f t="shared" ca="1" si="9"/>
        <v>355000</v>
      </c>
      <c r="J26" s="361">
        <f t="shared" ca="1" si="10"/>
        <v>0</v>
      </c>
      <c r="K26" s="362">
        <f t="shared" ca="1" si="11"/>
        <v>355000</v>
      </c>
    </row>
    <row r="27" spans="1:22">
      <c r="B27" s="502">
        <v>5</v>
      </c>
      <c r="C27" s="499" t="s">
        <v>629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497">
        <f>F22*1</f>
        <v>5</v>
      </c>
      <c r="G27" s="360">
        <f ca="1">IF(ISERROR(OFFSET('HARGA SATUAN'!$I$6,MATCH(RAB!C27,'HARGA SATUAN'!$C$7:$C$1492,0),0)),0,OFFSET('HARGA SATUAN'!$I$6,MATCH(RAB!C27,'HARGA SATUAN'!$C$7:$C$1492,0),0))</f>
        <v>29400</v>
      </c>
      <c r="H27" s="361">
        <f t="shared" ca="1" si="8"/>
        <v>0</v>
      </c>
      <c r="I27" s="361">
        <f t="shared" ca="1" si="9"/>
        <v>0</v>
      </c>
      <c r="J27" s="361">
        <f t="shared" ca="1" si="10"/>
        <v>147000</v>
      </c>
      <c r="K27" s="362">
        <f t="shared" ca="1" si="11"/>
        <v>147000</v>
      </c>
    </row>
    <row r="28" spans="1:22">
      <c r="B28" s="502"/>
      <c r="C28" s="499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97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2" t="s">
        <v>1035</v>
      </c>
      <c r="C29" s="499" t="s">
        <v>1615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497">
        <v>2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8"/>
        <v>0</v>
      </c>
      <c r="I29" s="361">
        <f t="shared" ca="1" si="9"/>
        <v>0</v>
      </c>
      <c r="J29" s="361">
        <f t="shared" ca="1" si="10"/>
        <v>0</v>
      </c>
      <c r="K29" s="362">
        <f t="shared" ca="1" si="11"/>
        <v>0</v>
      </c>
    </row>
    <row r="30" spans="1:22">
      <c r="B30" s="502">
        <v>1</v>
      </c>
      <c r="C30" s="499" t="s">
        <v>595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F29*1</f>
        <v>2</v>
      </c>
      <c r="G30" s="360">
        <f ca="1">IF(ISERROR(OFFSET('HARGA SATUAN'!$I$6,MATCH(RAB!C30,'HARGA SATUAN'!$C$7:$C$1492,0),0)),0,OFFSET('HARGA SATUAN'!$I$6,MATCH(RAB!C30,'HARGA SATUAN'!$C$7:$C$1492,0),0))</f>
        <v>78500</v>
      </c>
      <c r="H30" s="361">
        <f t="shared" ca="1" si="8"/>
        <v>0</v>
      </c>
      <c r="I30" s="361">
        <f t="shared" ca="1" si="9"/>
        <v>157000</v>
      </c>
      <c r="J30" s="361">
        <f t="shared" ca="1" si="10"/>
        <v>0</v>
      </c>
      <c r="K30" s="362">
        <f t="shared" ca="1" si="11"/>
        <v>157000</v>
      </c>
    </row>
    <row r="31" spans="1:22">
      <c r="B31" s="502">
        <v>2</v>
      </c>
      <c r="C31" s="499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7">
        <f>F29*1</f>
        <v>2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8"/>
        <v>0</v>
      </c>
      <c r="I31" s="361">
        <f t="shared" ca="1" si="9"/>
        <v>8424</v>
      </c>
      <c r="J31" s="361">
        <f t="shared" ca="1" si="10"/>
        <v>0</v>
      </c>
      <c r="K31" s="362">
        <f t="shared" ca="1" si="11"/>
        <v>8424</v>
      </c>
    </row>
    <row r="32" spans="1:22">
      <c r="B32" s="502">
        <v>3</v>
      </c>
      <c r="C32" s="499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497">
        <f>F29*1</f>
        <v>2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8"/>
        <v>0</v>
      </c>
      <c r="I32" s="361">
        <f t="shared" ca="1" si="9"/>
        <v>46620</v>
      </c>
      <c r="J32" s="361">
        <f t="shared" ca="1" si="10"/>
        <v>0</v>
      </c>
      <c r="K32" s="362">
        <f t="shared" ca="1" si="11"/>
        <v>46620</v>
      </c>
    </row>
    <row r="33" spans="2:11">
      <c r="B33" s="502">
        <v>4</v>
      </c>
      <c r="C33" s="499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7">
        <f>F29*1</f>
        <v>2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8"/>
        <v>0</v>
      </c>
      <c r="I33" s="361">
        <f t="shared" ca="1" si="9"/>
        <v>4600</v>
      </c>
      <c r="J33" s="361">
        <f t="shared" ca="1" si="10"/>
        <v>0</v>
      </c>
      <c r="K33" s="362">
        <f t="shared" ca="1" si="11"/>
        <v>4600</v>
      </c>
    </row>
    <row r="34" spans="2:11">
      <c r="B34" s="502">
        <v>5</v>
      </c>
      <c r="C34" s="499" t="s">
        <v>630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497">
        <f>F29*1</f>
        <v>2</v>
      </c>
      <c r="G34" s="360">
        <f ca="1">IF(ISERROR(OFFSET('HARGA SATUAN'!$I$6,MATCH(RAB!C34,'HARGA SATUAN'!$C$7:$C$1492,0),0)),0,OFFSET('HARGA SATUAN'!$I$6,MATCH(RAB!C34,'HARGA SATUAN'!$C$7:$C$1492,0),0))</f>
        <v>35700</v>
      </c>
      <c r="H34" s="361">
        <f t="shared" ca="1" si="8"/>
        <v>0</v>
      </c>
      <c r="I34" s="361">
        <f t="shared" ca="1" si="9"/>
        <v>0</v>
      </c>
      <c r="J34" s="361">
        <f t="shared" ca="1" si="10"/>
        <v>71400</v>
      </c>
      <c r="K34" s="362">
        <f t="shared" ca="1" si="11"/>
        <v>71400</v>
      </c>
    </row>
    <row r="35" spans="2:11">
      <c r="B35" s="492"/>
      <c r="C35" s="495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8"/>
        <v>0</v>
      </c>
      <c r="I35" s="361">
        <f t="shared" ca="1" si="9"/>
        <v>0</v>
      </c>
      <c r="J35" s="361">
        <f t="shared" ca="1" si="10"/>
        <v>0</v>
      </c>
      <c r="K35" s="362">
        <f t="shared" ca="1" si="11"/>
        <v>0</v>
      </c>
    </row>
    <row r="36" spans="2:11">
      <c r="B36" s="510" t="s">
        <v>1035</v>
      </c>
      <c r="C36" s="511" t="s">
        <v>1619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497">
        <v>1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42" ca="1" si="12">IF(OR(D36="MDU",D36="MDU-KD"),(IF($O$3="RAB NON MDU","PLN KD",G36*F36)),0)</f>
        <v>0</v>
      </c>
      <c r="I36" s="361">
        <f t="shared" ref="I36:I42" ca="1" si="13">IF(D36="HDW",G36*F36,0)</f>
        <v>0</v>
      </c>
      <c r="J36" s="361">
        <f t="shared" ref="J36:J42" ca="1" si="14">IF(D36="JASA",G36*F36,0)</f>
        <v>0</v>
      </c>
      <c r="K36" s="362">
        <f t="shared" ref="K36:K42" ca="1" si="15">SUM(H36:J36)</f>
        <v>0</v>
      </c>
    </row>
    <row r="37" spans="2:11">
      <c r="B37" s="510">
        <v>1</v>
      </c>
      <c r="C37" s="511" t="s">
        <v>598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F36*1</f>
        <v>1</v>
      </c>
      <c r="G37" s="360">
        <f ca="1">IF(ISERROR(OFFSET('HARGA SATUAN'!$I$6,MATCH(RAB!C37,'HARGA SATUAN'!$C$7:$C$1492,0),0)),0,OFFSET('HARGA SATUAN'!$I$6,MATCH(RAB!C37,'HARGA SATUAN'!$C$7:$C$1492,0),0))</f>
        <v>3965</v>
      </c>
      <c r="H37" s="361">
        <f t="shared" ca="1" si="12"/>
        <v>0</v>
      </c>
      <c r="I37" s="361">
        <f t="shared" ca="1" si="13"/>
        <v>3965</v>
      </c>
      <c r="J37" s="361">
        <f t="shared" ca="1" si="14"/>
        <v>0</v>
      </c>
      <c r="K37" s="362">
        <f t="shared" ca="1" si="15"/>
        <v>3965</v>
      </c>
    </row>
    <row r="38" spans="2:11">
      <c r="B38" s="510">
        <v>2</v>
      </c>
      <c r="C38" s="511" t="s">
        <v>474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7">
        <f>F36*1</f>
        <v>1</v>
      </c>
      <c r="G38" s="360">
        <f ca="1">IF(ISERROR(OFFSET('HARGA SATUAN'!$I$6,MATCH(RAB!C38,'HARGA SATUAN'!$C$7:$C$1492,0),0)),0,OFFSET('HARGA SATUAN'!$I$6,MATCH(RAB!C38,'HARGA SATUAN'!$C$7:$C$1492,0),0))</f>
        <v>3711.24</v>
      </c>
      <c r="H38" s="361">
        <f t="shared" ca="1" si="12"/>
        <v>0</v>
      </c>
      <c r="I38" s="361">
        <f t="shared" ca="1" si="13"/>
        <v>3711.24</v>
      </c>
      <c r="J38" s="361">
        <f t="shared" ca="1" si="14"/>
        <v>0</v>
      </c>
      <c r="K38" s="362">
        <f t="shared" ca="1" si="15"/>
        <v>3711.24</v>
      </c>
    </row>
    <row r="39" spans="2:11">
      <c r="B39" s="510">
        <v>3</v>
      </c>
      <c r="C39" s="511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497">
        <f>F36*1</f>
        <v>1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ca="1" si="12"/>
        <v>0</v>
      </c>
      <c r="I39" s="361">
        <f t="shared" ca="1" si="13"/>
        <v>23310</v>
      </c>
      <c r="J39" s="361">
        <f t="shared" ca="1" si="14"/>
        <v>0</v>
      </c>
      <c r="K39" s="362">
        <f t="shared" ca="1" si="15"/>
        <v>23310</v>
      </c>
    </row>
    <row r="40" spans="2:11">
      <c r="B40" s="510">
        <v>4</v>
      </c>
      <c r="C40" s="511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97">
        <f>F36*1</f>
        <v>1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12"/>
        <v>0</v>
      </c>
      <c r="I40" s="361">
        <f t="shared" ca="1" si="13"/>
        <v>2300</v>
      </c>
      <c r="J40" s="361">
        <f t="shared" ca="1" si="14"/>
        <v>0</v>
      </c>
      <c r="K40" s="362">
        <f t="shared" ca="1" si="15"/>
        <v>2300</v>
      </c>
    </row>
    <row r="41" spans="2:11">
      <c r="B41" s="510">
        <v>5</v>
      </c>
      <c r="C41" s="511" t="s">
        <v>632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97">
        <f>F36*1</f>
        <v>1</v>
      </c>
      <c r="G41" s="360">
        <f ca="1">IF(ISERROR(OFFSET('HARGA SATUAN'!$I$6,MATCH(RAB!C41,'HARGA SATUAN'!$C$7:$C$1492,0),0)),0,OFFSET('HARGA SATUAN'!$I$6,MATCH(RAB!C41,'HARGA SATUAN'!$C$7:$C$1492,0),0))</f>
        <v>22700</v>
      </c>
      <c r="H41" s="361">
        <f t="shared" ca="1" si="12"/>
        <v>0</v>
      </c>
      <c r="I41" s="361">
        <f t="shared" ca="1" si="13"/>
        <v>0</v>
      </c>
      <c r="J41" s="361">
        <f t="shared" ca="1" si="14"/>
        <v>22700</v>
      </c>
      <c r="K41" s="362">
        <f t="shared" ca="1" si="15"/>
        <v>22700</v>
      </c>
    </row>
    <row r="42" spans="2:11">
      <c r="B42" s="492"/>
      <c r="C42" s="495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12"/>
        <v>0</v>
      </c>
      <c r="I42" s="361">
        <f t="shared" ca="1" si="13"/>
        <v>0</v>
      </c>
      <c r="J42" s="361">
        <f t="shared" ca="1" si="14"/>
        <v>0</v>
      </c>
      <c r="K42" s="362">
        <f t="shared" ca="1" si="15"/>
        <v>0</v>
      </c>
    </row>
    <row r="43" spans="2:11">
      <c r="B43" s="492"/>
      <c r="C43" s="503" t="s">
        <v>1616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36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8"/>
        <v>0</v>
      </c>
      <c r="I43" s="361">
        <f t="shared" ca="1" si="9"/>
        <v>0</v>
      </c>
      <c r="J43" s="361">
        <f t="shared" ca="1" si="10"/>
        <v>0</v>
      </c>
      <c r="K43" s="362">
        <f t="shared" ca="1" si="11"/>
        <v>0</v>
      </c>
    </row>
    <row r="44" spans="2:11">
      <c r="B44" s="492">
        <v>1</v>
      </c>
      <c r="C44" s="109" t="s">
        <v>1402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368">
        <v>320</v>
      </c>
      <c r="G44" s="360">
        <f ca="1">IF(ISERROR(OFFSET('HARGA SATUAN'!$I$6,MATCH(RAB!C44,'HARGA SATUAN'!$C$7:$C$1492,0),0)),0,OFFSET('HARGA SATUAN'!$I$6,MATCH(RAB!C44,'HARGA SATUAN'!$C$7:$C$1492,0),0))</f>
        <v>53300</v>
      </c>
      <c r="H44" s="361">
        <f t="shared" ca="1" si="8"/>
        <v>17056000</v>
      </c>
      <c r="I44" s="361">
        <f t="shared" ca="1" si="9"/>
        <v>0</v>
      </c>
      <c r="J44" s="361">
        <f t="shared" ca="1" si="10"/>
        <v>0</v>
      </c>
      <c r="K44" s="362">
        <f t="shared" ca="1" si="11"/>
        <v>17056000</v>
      </c>
    </row>
    <row r="45" spans="2:11">
      <c r="B45" s="492">
        <v>2</v>
      </c>
      <c r="C45" s="109" t="s">
        <v>347</v>
      </c>
      <c r="D45" s="507" t="s">
        <v>47</v>
      </c>
      <c r="E45" s="508" t="s">
        <v>297</v>
      </c>
      <c r="F45" s="508">
        <f>F44/50</f>
        <v>6.4</v>
      </c>
      <c r="G45" s="509">
        <v>100000</v>
      </c>
      <c r="H45" s="361">
        <f t="shared" si="8"/>
        <v>0</v>
      </c>
      <c r="I45" s="361">
        <f t="shared" si="9"/>
        <v>0</v>
      </c>
      <c r="J45" s="361">
        <f t="shared" si="10"/>
        <v>640000</v>
      </c>
      <c r="K45" s="362">
        <f t="shared" si="11"/>
        <v>640000</v>
      </c>
    </row>
    <row r="46" spans="2:11">
      <c r="B46" s="492"/>
      <c r="C46" s="495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8"/>
        <v>0</v>
      </c>
      <c r="I46" s="361">
        <f t="shared" ca="1" si="9"/>
        <v>0</v>
      </c>
      <c r="J46" s="361">
        <f t="shared" ca="1" si="10"/>
        <v>0</v>
      </c>
      <c r="K46" s="362">
        <f t="shared" ca="1" si="11"/>
        <v>0</v>
      </c>
    </row>
    <row r="47" spans="2:11">
      <c r="B47" s="492"/>
      <c r="C47" s="503" t="s">
        <v>1617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ref="H47:H49" ca="1" si="16">IF(OR(D47="MDU",D47="MDU-KD"),(IF($O$3="RAB NON MDU","PLN KD",G47*F47)),0)</f>
        <v>0</v>
      </c>
      <c r="I47" s="361">
        <f t="shared" ref="I47:I49" ca="1" si="17">IF(D47="HDW",G47*F47,0)</f>
        <v>0</v>
      </c>
      <c r="J47" s="361">
        <f t="shared" ref="J47:J49" ca="1" si="18">IF(D47="JASA",G47*F47,0)</f>
        <v>0</v>
      </c>
      <c r="K47" s="362">
        <f t="shared" ref="K47:K49" ca="1" si="19">SUM(H47:J47)</f>
        <v>0</v>
      </c>
    </row>
    <row r="48" spans="2:11">
      <c r="B48" s="492"/>
      <c r="C48" s="495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68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</row>
    <row r="49" spans="2:11">
      <c r="B49" s="366" t="s">
        <v>1608</v>
      </c>
      <c r="C49" s="367" t="s">
        <v>1610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16"/>
        <v>0</v>
      </c>
      <c r="I49" s="361">
        <f t="shared" ca="1" si="17"/>
        <v>0</v>
      </c>
      <c r="J49" s="361">
        <f t="shared" ca="1" si="18"/>
        <v>0</v>
      </c>
      <c r="K49" s="362">
        <f t="shared" ca="1" si="19"/>
        <v>0</v>
      </c>
    </row>
    <row r="50" spans="2:11">
      <c r="B50" s="492"/>
      <c r="C50" s="495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368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:H75" ca="1" si="20">IF(OR(D50="MDU",D50="MDU-KD"),(IF($O$3="RAB NON MDU","PLN KD",G50*F50)),0)</f>
        <v>0</v>
      </c>
      <c r="I50" s="361">
        <f t="shared" ref="I50:I75" ca="1" si="21">IF(D50="HDW",G50*F50,0)</f>
        <v>0</v>
      </c>
      <c r="J50" s="361">
        <f t="shared" ref="J50:J75" ca="1" si="22">IF(D50="JASA",G50*F50,0)</f>
        <v>0</v>
      </c>
      <c r="K50" s="362">
        <f t="shared" ref="K50:K75" ca="1" si="23">SUM(H50:J50)</f>
        <v>0</v>
      </c>
    </row>
    <row r="51" spans="2:11">
      <c r="B51" s="515" t="s">
        <v>1035</v>
      </c>
      <c r="C51" s="516" t="s">
        <v>1624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23"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0"/>
        <v>0</v>
      </c>
      <c r="I51" s="361">
        <f t="shared" ca="1" si="21"/>
        <v>0</v>
      </c>
      <c r="J51" s="361">
        <f t="shared" ca="1" si="22"/>
        <v>0</v>
      </c>
      <c r="K51" s="362">
        <f t="shared" ca="1" si="23"/>
        <v>0</v>
      </c>
    </row>
    <row r="52" spans="2:11">
      <c r="B52" s="515">
        <v>1</v>
      </c>
      <c r="C52" s="517" t="s">
        <v>532</v>
      </c>
      <c r="D52" s="358" t="str">
        <f ca="1">IF(ISERROR(OFFSET('HARGA SATUAN'!$D$6,MATCH(RAB!C52,'HARGA SATUAN'!$C$7:$C$1492,0),0)),"",OFFSET('HARGA SATUAN'!$D$6,MATCH(RAB!C52,'HARGA SATUAN'!$C$7:$C$1492,0),0))</f>
        <v>MDU-KD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8">
        <f>F51*1</f>
        <v>1</v>
      </c>
      <c r="G52" s="360">
        <f ca="1">IF(ISERROR(OFFSET('HARGA SATUAN'!$I$6,MATCH(RAB!C52,'HARGA SATUAN'!$C$7:$C$1492,0),0)),0,OFFSET('HARGA SATUAN'!$I$6,MATCH(RAB!C52,'HARGA SATUAN'!$C$7:$C$1492,0),0))</f>
        <v>27845400</v>
      </c>
      <c r="H52" s="361">
        <f t="shared" ca="1" si="20"/>
        <v>27845400</v>
      </c>
      <c r="I52" s="361">
        <f t="shared" ca="1" si="21"/>
        <v>0</v>
      </c>
      <c r="J52" s="361">
        <f t="shared" ca="1" si="22"/>
        <v>0</v>
      </c>
      <c r="K52" s="362">
        <f t="shared" ca="1" si="23"/>
        <v>27845400</v>
      </c>
    </row>
    <row r="53" spans="2:11">
      <c r="B53" s="498">
        <v>2</v>
      </c>
      <c r="C53" s="517" t="s">
        <v>1625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51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20"/>
        <v>0</v>
      </c>
      <c r="I53" s="361">
        <f t="shared" ca="1" si="21"/>
        <v>0</v>
      </c>
      <c r="J53" s="361">
        <f t="shared" ca="1" si="22"/>
        <v>0</v>
      </c>
      <c r="K53" s="362">
        <f t="shared" ca="1" si="23"/>
        <v>0</v>
      </c>
    </row>
    <row r="54" spans="2:11">
      <c r="B54" s="498"/>
      <c r="C54" s="517" t="s">
        <v>65</v>
      </c>
      <c r="D54" s="358" t="str">
        <f ca="1">IF(ISERROR(OFFSET('HARGA SATUAN'!$D$6,MATCH(RAB!C54,'HARGA SATUAN'!$C$7:$C$1492,0),0)),"",OFFSET('HARGA SATUAN'!$D$6,MATCH(RAB!C54,'HARGA SATUAN'!$C$7:$C$1492,0),0))</f>
        <v>MDU-KD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518">
        <f>F51*2</f>
        <v>2</v>
      </c>
      <c r="G54" s="360">
        <f ca="1">IF(ISERROR(OFFSET('HARGA SATUAN'!$I$6,MATCH(RAB!C54,'HARGA SATUAN'!$C$7:$C$1492,0),0)),0,OFFSET('HARGA SATUAN'!$I$6,MATCH(RAB!C54,'HARGA SATUAN'!$C$7:$C$1492,0),0))</f>
        <v>14200</v>
      </c>
      <c r="H54" s="361">
        <f t="shared" ca="1" si="20"/>
        <v>28400</v>
      </c>
      <c r="I54" s="361">
        <f t="shared" ca="1" si="21"/>
        <v>0</v>
      </c>
      <c r="J54" s="361">
        <f t="shared" ca="1" si="22"/>
        <v>0</v>
      </c>
      <c r="K54" s="362">
        <f t="shared" ca="1" si="23"/>
        <v>28400</v>
      </c>
    </row>
    <row r="55" spans="2:11">
      <c r="B55" s="515"/>
      <c r="C55" s="109" t="s">
        <v>1402</v>
      </c>
      <c r="D55" s="358" t="str">
        <f ca="1">IF(ISERROR(OFFSET('HARGA SATUAN'!$D$6,MATCH(RAB!C55,'HARGA SATUAN'!$C$7:$C$1492,0),0)),"",OFFSET('HARGA SATUAN'!$D$6,MATCH(RAB!C55,'HARGA SATUAN'!$C$7:$C$1492,0),0))</f>
        <v>MDU-KD</v>
      </c>
      <c r="E55" s="359" t="str">
        <f ca="1">IF(B55="+","Unit",IF(ISERROR(OFFSET('HARGA SATUAN'!$E$6,MATCH(RAB!C55,'HARGA SATUAN'!$C$7:$C$1492,0),0)),"",OFFSET('HARGA SATUAN'!$E$6,MATCH(RAB!C55,'HARGA SATUAN'!$C$7:$C$1492,0),0)))</f>
        <v>Mtr</v>
      </c>
      <c r="F55" s="518">
        <f>F51*2</f>
        <v>2</v>
      </c>
      <c r="G55" s="360">
        <f ca="1">IF(ISERROR(OFFSET('HARGA SATUAN'!$I$6,MATCH(RAB!C55,'HARGA SATUAN'!$C$7:$C$1492,0),0)),0,OFFSET('HARGA SATUAN'!$I$6,MATCH(RAB!C55,'HARGA SATUAN'!$C$7:$C$1492,0),0))</f>
        <v>53300</v>
      </c>
      <c r="H55" s="361">
        <f t="shared" ca="1" si="20"/>
        <v>106600</v>
      </c>
      <c r="I55" s="361">
        <f t="shared" ca="1" si="21"/>
        <v>0</v>
      </c>
      <c r="J55" s="361">
        <f t="shared" ca="1" si="22"/>
        <v>0</v>
      </c>
      <c r="K55" s="362">
        <f t="shared" ca="1" si="23"/>
        <v>106600</v>
      </c>
    </row>
    <row r="56" spans="2:11">
      <c r="B56" s="515">
        <v>3</v>
      </c>
      <c r="C56" s="517" t="s">
        <v>207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8">
        <f>F51*1</f>
        <v>1</v>
      </c>
      <c r="G56" s="360">
        <f ca="1">IF(ISERROR(OFFSET('HARGA SATUAN'!$I$6,MATCH(RAB!C56,'HARGA SATUAN'!$C$7:$C$1492,0),0)),0,OFFSET('HARGA SATUAN'!$I$6,MATCH(RAB!C56,'HARGA SATUAN'!$C$7:$C$1492,0),0))</f>
        <v>87000</v>
      </c>
      <c r="H56" s="361">
        <f t="shared" ca="1" si="20"/>
        <v>0</v>
      </c>
      <c r="I56" s="361">
        <f t="shared" ca="1" si="21"/>
        <v>87000</v>
      </c>
      <c r="J56" s="361">
        <f t="shared" ca="1" si="22"/>
        <v>0</v>
      </c>
      <c r="K56" s="362">
        <f t="shared" ca="1" si="23"/>
        <v>87000</v>
      </c>
    </row>
    <row r="57" spans="2:11">
      <c r="B57" s="515">
        <v>4</v>
      </c>
      <c r="C57" s="517" t="s">
        <v>176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8">
        <f>F51*2</f>
        <v>2</v>
      </c>
      <c r="G57" s="360">
        <f ca="1">IF(ISERROR(OFFSET('HARGA SATUAN'!$I$6,MATCH(RAB!C57,'HARGA SATUAN'!$C$7:$C$1492,0),0)),0,OFFSET('HARGA SATUAN'!$I$6,MATCH(RAB!C57,'HARGA SATUAN'!$C$7:$C$1492,0),0))</f>
        <v>404600</v>
      </c>
      <c r="H57" s="361">
        <f t="shared" ca="1" si="20"/>
        <v>0</v>
      </c>
      <c r="I57" s="361">
        <f t="shared" ca="1" si="21"/>
        <v>809200</v>
      </c>
      <c r="J57" s="361">
        <f t="shared" ca="1" si="22"/>
        <v>0</v>
      </c>
      <c r="K57" s="362">
        <f t="shared" ca="1" si="23"/>
        <v>809200</v>
      </c>
    </row>
    <row r="58" spans="2:11">
      <c r="B58" s="515">
        <v>5</v>
      </c>
      <c r="C58" s="517" t="s">
        <v>184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8">
        <f>F51*3</f>
        <v>3</v>
      </c>
      <c r="G58" s="360">
        <f ca="1">IF(ISERROR(OFFSET('HARGA SATUAN'!$I$6,MATCH(RAB!C58,'HARGA SATUAN'!$C$7:$C$1492,0),0)),0,OFFSET('HARGA SATUAN'!$I$6,MATCH(RAB!C58,'HARGA SATUAN'!$C$7:$C$1492,0),0))</f>
        <v>15900</v>
      </c>
      <c r="H58" s="361">
        <f t="shared" ca="1" si="20"/>
        <v>0</v>
      </c>
      <c r="I58" s="361">
        <f t="shared" ca="1" si="21"/>
        <v>47700</v>
      </c>
      <c r="J58" s="361">
        <f t="shared" ca="1" si="22"/>
        <v>0</v>
      </c>
      <c r="K58" s="362">
        <f t="shared" ca="1" si="23"/>
        <v>47700</v>
      </c>
    </row>
    <row r="59" spans="2:11">
      <c r="B59" s="515">
        <v>6</v>
      </c>
      <c r="C59" s="517" t="s">
        <v>187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8">
        <f>F51*2</f>
        <v>2</v>
      </c>
      <c r="G59" s="360">
        <f ca="1">IF(ISERROR(OFFSET('HARGA SATUAN'!$I$6,MATCH(RAB!C59,'HARGA SATUAN'!$C$7:$C$1492,0),0)),0,OFFSET('HARGA SATUAN'!$I$6,MATCH(RAB!C59,'HARGA SATUAN'!$C$7:$C$1492,0),0))</f>
        <v>17100</v>
      </c>
      <c r="H59" s="361">
        <f t="shared" ca="1" si="20"/>
        <v>0</v>
      </c>
      <c r="I59" s="361">
        <f t="shared" ca="1" si="21"/>
        <v>34200</v>
      </c>
      <c r="J59" s="361">
        <f t="shared" ca="1" si="22"/>
        <v>0</v>
      </c>
      <c r="K59" s="362">
        <f t="shared" ca="1" si="23"/>
        <v>34200</v>
      </c>
    </row>
    <row r="60" spans="2:11">
      <c r="B60" s="515">
        <v>7</v>
      </c>
      <c r="C60" s="109" t="s">
        <v>1564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8">
        <f>F51*4</f>
        <v>4</v>
      </c>
      <c r="G60" s="360">
        <f ca="1">IF(ISERROR(OFFSET('HARGA SATUAN'!$I$6,MATCH(RAB!C60,'HARGA SATUAN'!$C$7:$C$1492,0),0)),0,OFFSET('HARGA SATUAN'!$I$6,MATCH(RAB!C60,'HARGA SATUAN'!$C$7:$C$1492,0),0))</f>
        <v>49000</v>
      </c>
      <c r="H60" s="361">
        <f t="shared" ca="1" si="20"/>
        <v>0</v>
      </c>
      <c r="I60" s="361">
        <f t="shared" ca="1" si="21"/>
        <v>196000</v>
      </c>
      <c r="J60" s="361">
        <f t="shared" ca="1" si="22"/>
        <v>0</v>
      </c>
      <c r="K60" s="362">
        <f t="shared" ca="1" si="23"/>
        <v>196000</v>
      </c>
    </row>
    <row r="61" spans="2:11">
      <c r="B61" s="515">
        <v>8</v>
      </c>
      <c r="C61" s="517" t="s">
        <v>149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Set</v>
      </c>
      <c r="F61" s="518">
        <f>F51*1</f>
        <v>1</v>
      </c>
      <c r="G61" s="360">
        <f ca="1">IF(ISERROR(OFFSET('HARGA SATUAN'!$I$6,MATCH(RAB!C61,'HARGA SATUAN'!$C$7:$C$1492,0),0)),0,OFFSET('HARGA SATUAN'!$I$6,MATCH(RAB!C61,'HARGA SATUAN'!$C$7:$C$1492,0),0))</f>
        <v>67800</v>
      </c>
      <c r="H61" s="361">
        <f t="shared" ca="1" si="20"/>
        <v>0</v>
      </c>
      <c r="I61" s="361">
        <f t="shared" ca="1" si="21"/>
        <v>67800</v>
      </c>
      <c r="J61" s="361">
        <f t="shared" ca="1" si="22"/>
        <v>0</v>
      </c>
      <c r="K61" s="362">
        <f t="shared" ca="1" si="23"/>
        <v>67800</v>
      </c>
    </row>
    <row r="62" spans="2:11">
      <c r="B62" s="515">
        <v>9</v>
      </c>
      <c r="C62" s="517" t="s">
        <v>32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Mtr</v>
      </c>
      <c r="F62" s="518">
        <f>F51*2</f>
        <v>2</v>
      </c>
      <c r="G62" s="360">
        <f ca="1">IF(ISERROR(OFFSET('HARGA SATUAN'!$I$6,MATCH(RAB!C62,'HARGA SATUAN'!$C$7:$C$1492,0),0)),0,OFFSET('HARGA SATUAN'!$I$6,MATCH(RAB!C62,'HARGA SATUAN'!$C$7:$C$1492,0),0))</f>
        <v>30000</v>
      </c>
      <c r="H62" s="361">
        <f t="shared" ca="1" si="20"/>
        <v>0</v>
      </c>
      <c r="I62" s="361">
        <f t="shared" ca="1" si="21"/>
        <v>60000</v>
      </c>
      <c r="J62" s="361">
        <f t="shared" ca="1" si="22"/>
        <v>0</v>
      </c>
      <c r="K62" s="362">
        <f t="shared" ca="1" si="23"/>
        <v>60000</v>
      </c>
    </row>
    <row r="63" spans="2:11">
      <c r="B63" s="515">
        <v>10</v>
      </c>
      <c r="C63" s="517" t="s">
        <v>781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18">
        <f>F51*1</f>
        <v>1</v>
      </c>
      <c r="G63" s="360">
        <f ca="1">IF(ISERROR(OFFSET('HARGA SATUAN'!$I$6,MATCH(RAB!C63,'HARGA SATUAN'!$C$7:$C$1492,0),0)),0,OFFSET('HARGA SATUAN'!$I$6,MATCH(RAB!C63,'HARGA SATUAN'!$C$7:$C$1492,0),0))</f>
        <v>346400</v>
      </c>
      <c r="H63" s="361">
        <f t="shared" ca="1" si="20"/>
        <v>0</v>
      </c>
      <c r="I63" s="361">
        <f t="shared" ca="1" si="21"/>
        <v>0</v>
      </c>
      <c r="J63" s="361">
        <f t="shared" ca="1" si="22"/>
        <v>346400</v>
      </c>
      <c r="K63" s="362">
        <f t="shared" ca="1" si="23"/>
        <v>346400</v>
      </c>
    </row>
    <row r="64" spans="2:11">
      <c r="B64" s="492"/>
      <c r="C64" s="495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368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0"/>
        <v>0</v>
      </c>
      <c r="I64" s="361">
        <f t="shared" ca="1" si="21"/>
        <v>0</v>
      </c>
      <c r="J64" s="361">
        <f t="shared" ca="1" si="22"/>
        <v>0</v>
      </c>
      <c r="K64" s="362">
        <f t="shared" ca="1" si="23"/>
        <v>0</v>
      </c>
    </row>
    <row r="65" spans="2:11">
      <c r="B65" s="498" t="s">
        <v>1035</v>
      </c>
      <c r="C65" s="500" t="s">
        <v>1626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497">
        <v>2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0"/>
        <v>0</v>
      </c>
      <c r="I65" s="361">
        <f t="shared" ca="1" si="21"/>
        <v>0</v>
      </c>
      <c r="J65" s="361">
        <f t="shared" ca="1" si="22"/>
        <v>0</v>
      </c>
      <c r="K65" s="362">
        <f t="shared" ca="1" si="23"/>
        <v>0</v>
      </c>
    </row>
    <row r="66" spans="2:11">
      <c r="B66" s="498">
        <v>1</v>
      </c>
      <c r="C66" s="501" t="s">
        <v>29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497">
        <f>F65*1</f>
        <v>2</v>
      </c>
      <c r="G66" s="360">
        <f ca="1">IF(ISERROR(OFFSET('HARGA SATUAN'!$I$6,MATCH(RAB!C66,'HARGA SATUAN'!$C$7:$C$1492,0),0)),0,OFFSET('HARGA SATUAN'!$I$6,MATCH(RAB!C66,'HARGA SATUAN'!$C$7:$C$1492,0),0))</f>
        <v>185200</v>
      </c>
      <c r="H66" s="361">
        <f t="shared" ca="1" si="20"/>
        <v>0</v>
      </c>
      <c r="I66" s="361">
        <f t="shared" ca="1" si="21"/>
        <v>370400</v>
      </c>
      <c r="J66" s="361">
        <f t="shared" ca="1" si="22"/>
        <v>0</v>
      </c>
      <c r="K66" s="362">
        <f t="shared" ca="1" si="23"/>
        <v>370400</v>
      </c>
    </row>
    <row r="67" spans="2:11">
      <c r="B67" s="515">
        <v>2</v>
      </c>
      <c r="C67" s="516" t="s">
        <v>30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497">
        <f>F65*1</f>
        <v>2</v>
      </c>
      <c r="G67" s="360">
        <f ca="1">IF(ISERROR(OFFSET('HARGA SATUAN'!$I$6,MATCH(RAB!C67,'HARGA SATUAN'!$C$7:$C$1492,0),0)),0,OFFSET('HARGA SATUAN'!$I$6,MATCH(RAB!C67,'HARGA SATUAN'!$C$7:$C$1492,0),0))</f>
        <v>47459</v>
      </c>
      <c r="H67" s="361">
        <f t="shared" ca="1" si="20"/>
        <v>0</v>
      </c>
      <c r="I67" s="361">
        <f t="shared" ca="1" si="21"/>
        <v>94918</v>
      </c>
      <c r="J67" s="361">
        <f t="shared" ca="1" si="22"/>
        <v>0</v>
      </c>
      <c r="K67" s="362">
        <f t="shared" ca="1" si="23"/>
        <v>94918</v>
      </c>
    </row>
    <row r="68" spans="2:11">
      <c r="B68" s="515">
        <v>3</v>
      </c>
      <c r="C68" s="516" t="s">
        <v>31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497">
        <f>F65*1</f>
        <v>2</v>
      </c>
      <c r="G68" s="360">
        <f ca="1">IF(ISERROR(OFFSET('HARGA SATUAN'!$I$6,MATCH(RAB!C68,'HARGA SATUAN'!$C$7:$C$1492,0),0)),0,OFFSET('HARGA SATUAN'!$I$6,MATCH(RAB!C68,'HARGA SATUAN'!$C$7:$C$1492,0),0))</f>
        <v>4880</v>
      </c>
      <c r="H68" s="361">
        <f t="shared" ca="1" si="20"/>
        <v>0</v>
      </c>
      <c r="I68" s="361">
        <f t="shared" ca="1" si="21"/>
        <v>9760</v>
      </c>
      <c r="J68" s="361">
        <f t="shared" ca="1" si="22"/>
        <v>0</v>
      </c>
      <c r="K68" s="362">
        <f t="shared" ca="1" si="23"/>
        <v>9760</v>
      </c>
    </row>
    <row r="69" spans="2:11">
      <c r="B69" s="515">
        <v>4</v>
      </c>
      <c r="C69" s="516" t="s">
        <v>32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Mtr</v>
      </c>
      <c r="F69" s="497">
        <f>F65*10</f>
        <v>20</v>
      </c>
      <c r="G69" s="360">
        <f ca="1">IF(ISERROR(OFFSET('HARGA SATUAN'!$I$6,MATCH(RAB!C69,'HARGA SATUAN'!$C$7:$C$1492,0),0)),0,OFFSET('HARGA SATUAN'!$I$6,MATCH(RAB!C69,'HARGA SATUAN'!$C$7:$C$1492,0),0))</f>
        <v>30000</v>
      </c>
      <c r="H69" s="361">
        <f t="shared" ca="1" si="20"/>
        <v>0</v>
      </c>
      <c r="I69" s="361">
        <f t="shared" ca="1" si="21"/>
        <v>600000</v>
      </c>
      <c r="J69" s="361">
        <f t="shared" ca="1" si="22"/>
        <v>0</v>
      </c>
      <c r="K69" s="362">
        <f t="shared" ca="1" si="23"/>
        <v>600000</v>
      </c>
    </row>
    <row r="70" spans="2:11">
      <c r="B70" s="515">
        <v>5</v>
      </c>
      <c r="C70" s="516" t="s">
        <v>33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497">
        <f>F65*2</f>
        <v>4</v>
      </c>
      <c r="G70" s="360">
        <f ca="1">IF(ISERROR(OFFSET('HARGA SATUAN'!$I$6,MATCH(RAB!C70,'HARGA SATUAN'!$C$7:$C$1492,0),0)),0,OFFSET('HARGA SATUAN'!$I$6,MATCH(RAB!C70,'HARGA SATUAN'!$C$7:$C$1492,0),0))</f>
        <v>9500</v>
      </c>
      <c r="H70" s="361">
        <f t="shared" ca="1" si="20"/>
        <v>0</v>
      </c>
      <c r="I70" s="361">
        <f t="shared" ca="1" si="21"/>
        <v>38000</v>
      </c>
      <c r="J70" s="361">
        <f t="shared" ca="1" si="22"/>
        <v>0</v>
      </c>
      <c r="K70" s="362">
        <f t="shared" ca="1" si="23"/>
        <v>38000</v>
      </c>
    </row>
    <row r="71" spans="2:11">
      <c r="B71" s="515">
        <v>6</v>
      </c>
      <c r="C71" s="516" t="s">
        <v>34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97">
        <f>F65*5.5</f>
        <v>11</v>
      </c>
      <c r="G71" s="360">
        <f ca="1">IF(ISERROR(OFFSET('HARGA SATUAN'!$I$6,MATCH(RAB!C71,'HARGA SATUAN'!$C$7:$C$1492,0),0)),0,OFFSET('HARGA SATUAN'!$I$6,MATCH(RAB!C71,'HARGA SATUAN'!$C$7:$C$1492,0),0))</f>
        <v>6100</v>
      </c>
      <c r="H71" s="361">
        <f t="shared" ca="1" si="20"/>
        <v>0</v>
      </c>
      <c r="I71" s="361">
        <f t="shared" ca="1" si="21"/>
        <v>67100</v>
      </c>
      <c r="J71" s="361">
        <f t="shared" ca="1" si="22"/>
        <v>0</v>
      </c>
      <c r="K71" s="362">
        <f t="shared" ca="1" si="23"/>
        <v>67100</v>
      </c>
    </row>
    <row r="72" spans="2:11">
      <c r="B72" s="515">
        <v>7</v>
      </c>
      <c r="C72" s="516" t="s">
        <v>35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97">
        <f>F65*6</f>
        <v>12</v>
      </c>
      <c r="G72" s="360">
        <f ca="1">IF(ISERROR(OFFSET('HARGA SATUAN'!$I$6,MATCH(RAB!C72,'HARGA SATUAN'!$C$7:$C$1492,0),0)),0,OFFSET('HARGA SATUAN'!$I$6,MATCH(RAB!C72,'HARGA SATUAN'!$C$7:$C$1492,0),0))</f>
        <v>2300</v>
      </c>
      <c r="H72" s="361">
        <f t="shared" ca="1" si="20"/>
        <v>0</v>
      </c>
      <c r="I72" s="361">
        <f t="shared" ca="1" si="21"/>
        <v>27600</v>
      </c>
      <c r="J72" s="361">
        <f t="shared" ca="1" si="22"/>
        <v>0</v>
      </c>
      <c r="K72" s="362">
        <f t="shared" ca="1" si="23"/>
        <v>27600</v>
      </c>
    </row>
    <row r="73" spans="2:11">
      <c r="B73" s="515">
        <v>8</v>
      </c>
      <c r="C73" s="516" t="s">
        <v>1627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497">
        <f>F65*4.8</f>
        <v>9.6</v>
      </c>
      <c r="G73" s="360">
        <f ca="1">IF(ISERROR(OFFSET('HARGA SATUAN'!$I$6,MATCH(RAB!C73,'HARGA SATUAN'!$C$7:$C$1492,0),0)),0,OFFSET('HARGA SATUAN'!$I$6,MATCH(RAB!C73,'HARGA SATUAN'!$C$7:$C$1492,0),0))</f>
        <v>23310</v>
      </c>
      <c r="H73" s="361">
        <f t="shared" ca="1" si="20"/>
        <v>0</v>
      </c>
      <c r="I73" s="361">
        <f t="shared" ca="1" si="21"/>
        <v>223776</v>
      </c>
      <c r="J73" s="361">
        <f t="shared" ca="1" si="22"/>
        <v>0</v>
      </c>
      <c r="K73" s="362">
        <f t="shared" ca="1" si="23"/>
        <v>223776</v>
      </c>
    </row>
    <row r="74" spans="2:11">
      <c r="B74" s="515">
        <v>9</v>
      </c>
      <c r="C74" s="516" t="s">
        <v>736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497">
        <f>F65*1</f>
        <v>2</v>
      </c>
      <c r="G74" s="360">
        <f ca="1">IF(ISERROR(OFFSET('HARGA SATUAN'!$I$6,MATCH(RAB!C74,'HARGA SATUAN'!$C$7:$C$1492,0),0)),0,OFFSET('HARGA SATUAN'!$I$6,MATCH(RAB!C74,'HARGA SATUAN'!$C$7:$C$1492,0),0))</f>
        <v>65400</v>
      </c>
      <c r="H74" s="361">
        <f t="shared" ca="1" si="20"/>
        <v>0</v>
      </c>
      <c r="I74" s="361">
        <f t="shared" ca="1" si="21"/>
        <v>0</v>
      </c>
      <c r="J74" s="361">
        <f t="shared" ca="1" si="22"/>
        <v>130800</v>
      </c>
      <c r="K74" s="362">
        <f t="shared" ca="1" si="23"/>
        <v>130800</v>
      </c>
    </row>
    <row r="75" spans="2:11">
      <c r="B75" s="492"/>
      <c r="C75" s="495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368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20"/>
        <v>0</v>
      </c>
      <c r="I75" s="361">
        <f t="shared" ca="1" si="21"/>
        <v>0</v>
      </c>
      <c r="J75" s="361">
        <f t="shared" ca="1" si="22"/>
        <v>0</v>
      </c>
      <c r="K75" s="362">
        <f t="shared" ca="1" si="23"/>
        <v>0</v>
      </c>
    </row>
    <row r="76" spans="2:11">
      <c r="B76" s="515" t="s">
        <v>1035</v>
      </c>
      <c r="C76" s="516" t="s">
        <v>1628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19">
        <v>1</v>
      </c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ref="H76:H83" ca="1" si="24">IF(OR(D76="MDU",D76="MDU-KD"),(IF($O$3="RAB NON MDU","PLN KD",G76*F76)),0)</f>
        <v>0</v>
      </c>
      <c r="I76" s="361">
        <f t="shared" ref="I76:I83" ca="1" si="25">IF(D76="HDW",G76*F76,0)</f>
        <v>0</v>
      </c>
      <c r="J76" s="361">
        <f t="shared" ref="J76:J83" ca="1" si="26">IF(D76="JASA",G76*F76,0)</f>
        <v>0</v>
      </c>
      <c r="K76" s="362">
        <f t="shared" ref="K76:K83" ca="1" si="27">SUM(H76:J76)</f>
        <v>0</v>
      </c>
    </row>
    <row r="77" spans="2:11">
      <c r="B77" s="515">
        <v>1</v>
      </c>
      <c r="C77" s="516" t="s">
        <v>535</v>
      </c>
      <c r="D77" s="358" t="str">
        <f ca="1">IF(ISERROR(OFFSET('HARGA SATUAN'!$D$6,MATCH(RAB!C77,'HARGA SATUAN'!$C$7:$C$1492,0),0)),"",OFFSET('HARGA SATUAN'!$D$6,MATCH(RAB!C77,'HARGA SATUAN'!$C$7:$C$1492,0),0))</f>
        <v>MDU-KD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19">
        <f>F76*1</f>
        <v>1</v>
      </c>
      <c r="G77" s="360">
        <f ca="1">IF(ISERROR(OFFSET('HARGA SATUAN'!$I$6,MATCH(RAB!C77,'HARGA SATUAN'!$C$7:$C$1492,0),0)),0,OFFSET('HARGA SATUAN'!$I$6,MATCH(RAB!C77,'HARGA SATUAN'!$C$7:$C$1492,0),0))</f>
        <v>848250</v>
      </c>
      <c r="H77" s="361">
        <f t="shared" ca="1" si="24"/>
        <v>848250</v>
      </c>
      <c r="I77" s="361">
        <f t="shared" ca="1" si="25"/>
        <v>0</v>
      </c>
      <c r="J77" s="361">
        <f t="shared" ca="1" si="26"/>
        <v>0</v>
      </c>
      <c r="K77" s="362">
        <f t="shared" ca="1" si="27"/>
        <v>848250</v>
      </c>
    </row>
    <row r="78" spans="2:11">
      <c r="B78" s="515">
        <v>2</v>
      </c>
      <c r="C78" s="109" t="s">
        <v>62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19">
        <f>F76*1</f>
        <v>1</v>
      </c>
      <c r="G78" s="360">
        <f ca="1">IF(ISERROR(OFFSET('HARGA SATUAN'!$I$6,MATCH(RAB!C78,'HARGA SATUAN'!$C$7:$C$1492,0),0)),0,OFFSET('HARGA SATUAN'!$I$6,MATCH(RAB!C78,'HARGA SATUAN'!$C$7:$C$1492,0),0))</f>
        <v>32500</v>
      </c>
      <c r="H78" s="361">
        <f t="shared" ca="1" si="24"/>
        <v>0</v>
      </c>
      <c r="I78" s="361">
        <f t="shared" ca="1" si="25"/>
        <v>32500</v>
      </c>
      <c r="J78" s="361">
        <f t="shared" ca="1" si="26"/>
        <v>0</v>
      </c>
      <c r="K78" s="362">
        <f t="shared" ca="1" si="27"/>
        <v>32500</v>
      </c>
    </row>
    <row r="79" spans="2:11">
      <c r="B79" s="515">
        <v>3</v>
      </c>
      <c r="C79" s="516" t="s">
        <v>187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19">
        <f>F76*1</f>
        <v>1</v>
      </c>
      <c r="G79" s="360">
        <f ca="1">IF(ISERROR(OFFSET('HARGA SATUAN'!$I$6,MATCH(RAB!C79,'HARGA SATUAN'!$C$7:$C$1492,0),0)),0,OFFSET('HARGA SATUAN'!$I$6,MATCH(RAB!C79,'HARGA SATUAN'!$C$7:$C$1492,0),0))</f>
        <v>17100</v>
      </c>
      <c r="H79" s="361">
        <f t="shared" ca="1" si="24"/>
        <v>0</v>
      </c>
      <c r="I79" s="361">
        <f t="shared" ca="1" si="25"/>
        <v>17100</v>
      </c>
      <c r="J79" s="361">
        <f t="shared" ca="1" si="26"/>
        <v>0</v>
      </c>
      <c r="K79" s="362">
        <f t="shared" ca="1" si="27"/>
        <v>17100</v>
      </c>
    </row>
    <row r="80" spans="2:11">
      <c r="B80" s="515">
        <v>4</v>
      </c>
      <c r="C80" s="109" t="s">
        <v>174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19">
        <f>F76*1</f>
        <v>1</v>
      </c>
      <c r="G80" s="360">
        <f ca="1">IF(ISERROR(OFFSET('HARGA SATUAN'!$I$6,MATCH(RAB!C80,'HARGA SATUAN'!$C$7:$C$1492,0),0)),0,OFFSET('HARGA SATUAN'!$I$6,MATCH(RAB!C80,'HARGA SATUAN'!$C$7:$C$1492,0),0))</f>
        <v>67700</v>
      </c>
      <c r="H80" s="361">
        <f t="shared" ca="1" si="24"/>
        <v>0</v>
      </c>
      <c r="I80" s="361">
        <f t="shared" ca="1" si="25"/>
        <v>67700</v>
      </c>
      <c r="J80" s="361">
        <f t="shared" ca="1" si="26"/>
        <v>0</v>
      </c>
      <c r="K80" s="362">
        <f t="shared" ca="1" si="27"/>
        <v>67700</v>
      </c>
    </row>
    <row r="81" spans="2:11">
      <c r="B81" s="515">
        <v>5</v>
      </c>
      <c r="C81" s="516" t="s">
        <v>747</v>
      </c>
      <c r="D81" s="358" t="str">
        <f ca="1">IF(ISERROR(OFFSET('HARGA SATUAN'!$D$6,MATCH(RAB!C81,'HARGA SATUAN'!$C$7:$C$1492,0),0)),"",OFFSET('HARGA SATUAN'!$D$6,MATCH(RAB!C81,'HARGA SATUAN'!$C$7:$C$1492,0),0))</f>
        <v>JASA</v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19">
        <f>F76*1</f>
        <v>1</v>
      </c>
      <c r="G81" s="360">
        <f ca="1">IF(ISERROR(OFFSET('HARGA SATUAN'!$I$6,MATCH(RAB!C81,'HARGA SATUAN'!$C$7:$C$1492,0),0)),0,OFFSET('HARGA SATUAN'!$I$6,MATCH(RAB!C81,'HARGA SATUAN'!$C$7:$C$1492,0),0))</f>
        <v>58400</v>
      </c>
      <c r="H81" s="361">
        <f t="shared" ca="1" si="24"/>
        <v>0</v>
      </c>
      <c r="I81" s="361">
        <f t="shared" ca="1" si="25"/>
        <v>0</v>
      </c>
      <c r="J81" s="361">
        <f t="shared" ca="1" si="26"/>
        <v>58400</v>
      </c>
      <c r="K81" s="362">
        <f t="shared" ca="1" si="27"/>
        <v>58400</v>
      </c>
    </row>
    <row r="82" spans="2:11">
      <c r="B82" s="492"/>
      <c r="C82" s="495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24"/>
        <v>0</v>
      </c>
      <c r="I82" s="361">
        <f t="shared" ca="1" si="25"/>
        <v>0</v>
      </c>
      <c r="J82" s="361">
        <f t="shared" ca="1" si="26"/>
        <v>0</v>
      </c>
      <c r="K82" s="362">
        <f t="shared" ca="1" si="27"/>
        <v>0</v>
      </c>
    </row>
    <row r="83" spans="2:11">
      <c r="B83" s="493" t="s">
        <v>1609</v>
      </c>
      <c r="C83" s="496" t="s">
        <v>1612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368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24"/>
        <v>0</v>
      </c>
      <c r="I83" s="361">
        <f t="shared" ca="1" si="25"/>
        <v>0</v>
      </c>
      <c r="J83" s="361">
        <f t="shared" ca="1" si="26"/>
        <v>0</v>
      </c>
      <c r="K83" s="362">
        <f t="shared" ca="1" si="27"/>
        <v>0</v>
      </c>
    </row>
    <row r="84" spans="2:11">
      <c r="B84" s="493" t="s">
        <v>1035</v>
      </c>
      <c r="C84" s="494" t="s">
        <v>1636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06">
        <v>1</v>
      </c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ref="H84:H89" ca="1" si="28">IF(OR(D84="MDU",D84="MDU-KD"),(IF($O$3="RAB NON MDU","PLN KD",G84*F84)),0)</f>
        <v>0</v>
      </c>
      <c r="I84" s="361">
        <f t="shared" ref="I84:I89" ca="1" si="29">IF(D84="HDW",G84*F84,0)</f>
        <v>0</v>
      </c>
      <c r="J84" s="361">
        <f t="shared" ref="J84:J89" ca="1" si="30">IF(D84="JASA",G84*F84,0)</f>
        <v>0</v>
      </c>
      <c r="K84" s="362">
        <f t="shared" ref="K84:K89" ca="1" si="31">SUM(H84:J84)</f>
        <v>0</v>
      </c>
    </row>
    <row r="85" spans="2:11">
      <c r="B85" s="515">
        <v>1</v>
      </c>
      <c r="C85" s="109" t="s">
        <v>482</v>
      </c>
      <c r="D85" s="358" t="s">
        <v>1618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6">
        <f>F84*1</f>
        <v>1</v>
      </c>
      <c r="G85" s="360">
        <f ca="1">IF(ISERROR(OFFSET('HARGA SATUAN'!$I$6,MATCH(RAB!C85,'HARGA SATUAN'!$C$7:$C$1492,0),0)),0,OFFSET('HARGA SATUAN'!$I$6,MATCH(RAB!C85,'HARGA SATUAN'!$C$7:$C$1492,0),0))</f>
        <v>327600</v>
      </c>
      <c r="H85" s="361">
        <f t="shared" si="28"/>
        <v>0</v>
      </c>
      <c r="I85" s="361">
        <f t="shared" si="29"/>
        <v>0</v>
      </c>
      <c r="J85" s="361">
        <f t="shared" si="30"/>
        <v>0</v>
      </c>
      <c r="K85" s="362">
        <f t="shared" si="31"/>
        <v>0</v>
      </c>
    </row>
    <row r="86" spans="2:11">
      <c r="B86" s="515">
        <v>2</v>
      </c>
      <c r="C86" s="109" t="s">
        <v>492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6">
        <f>F84*1</f>
        <v>1</v>
      </c>
      <c r="G86" s="360">
        <f ca="1">IF(ISERROR(OFFSET('HARGA SATUAN'!$I$6,MATCH(RAB!C86,'HARGA SATUAN'!$C$7:$C$1492,0),0)),0,OFFSET('HARGA SATUAN'!$I$6,MATCH(RAB!C86,'HARGA SATUAN'!$C$7:$C$1492,0),0))</f>
        <v>39000</v>
      </c>
      <c r="H86" s="361">
        <f t="shared" ca="1" si="28"/>
        <v>39000</v>
      </c>
      <c r="I86" s="361">
        <f t="shared" ca="1" si="29"/>
        <v>0</v>
      </c>
      <c r="J86" s="361">
        <f t="shared" ca="1" si="30"/>
        <v>0</v>
      </c>
      <c r="K86" s="362">
        <f t="shared" ca="1" si="31"/>
        <v>39000</v>
      </c>
    </row>
    <row r="87" spans="2:11">
      <c r="B87" s="515">
        <v>3</v>
      </c>
      <c r="C87" s="520" t="s">
        <v>74</v>
      </c>
      <c r="D87" s="358" t="s">
        <v>1618</v>
      </c>
      <c r="E87" s="359" t="str">
        <f ca="1">IF(B87="+","Unit",IF(ISERROR(OFFSET('HARGA SATUAN'!$E$6,MATCH(RAB!C87,'HARGA SATUAN'!$C$7:$C$1492,0),0)),"",OFFSET('HARGA SATUAN'!$E$6,MATCH(RAB!C87,'HARGA SATUAN'!$C$7:$C$1492,0),0)))</f>
        <v>Mtr</v>
      </c>
      <c r="F87" s="506">
        <v>30</v>
      </c>
      <c r="G87" s="360">
        <f ca="1">IF(ISERROR(OFFSET('HARGA SATUAN'!$I$6,MATCH(RAB!C87,'HARGA SATUAN'!$C$7:$C$1492,0),0)),0,OFFSET('HARGA SATUAN'!$I$6,MATCH(RAB!C87,'HARGA SATUAN'!$C$7:$C$1492,0),0))</f>
        <v>6600</v>
      </c>
      <c r="H87" s="361">
        <f t="shared" si="28"/>
        <v>0</v>
      </c>
      <c r="I87" s="361">
        <f t="shared" si="29"/>
        <v>0</v>
      </c>
      <c r="J87" s="361">
        <f t="shared" si="30"/>
        <v>0</v>
      </c>
      <c r="K87" s="362">
        <f t="shared" si="31"/>
        <v>0</v>
      </c>
    </row>
    <row r="88" spans="2:11">
      <c r="B88" s="515">
        <v>4</v>
      </c>
      <c r="C88" s="520" t="s">
        <v>798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506">
        <f>F84*1</f>
        <v>1</v>
      </c>
      <c r="G88" s="360">
        <f ca="1">IF(ISERROR(OFFSET('HARGA SATUAN'!$I$6,MATCH(RAB!C88,'HARGA SATUAN'!$C$7:$C$1492,0),0)),0,OFFSET('HARGA SATUAN'!$I$6,MATCH(RAB!C88,'HARGA SATUAN'!$C$7:$C$1492,0),0))</f>
        <v>54400</v>
      </c>
      <c r="H88" s="361">
        <f t="shared" ca="1" si="28"/>
        <v>0</v>
      </c>
      <c r="I88" s="361">
        <f t="shared" ca="1" si="29"/>
        <v>0</v>
      </c>
      <c r="J88" s="361">
        <f t="shared" ca="1" si="30"/>
        <v>54400</v>
      </c>
      <c r="K88" s="362">
        <f t="shared" ca="1" si="31"/>
        <v>54400</v>
      </c>
    </row>
    <row r="89" spans="2:11">
      <c r="B89" s="515"/>
      <c r="C89" s="520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8"/>
        <v>0</v>
      </c>
      <c r="I89" s="361">
        <f t="shared" ca="1" si="29"/>
        <v>0</v>
      </c>
      <c r="J89" s="361">
        <f t="shared" ca="1" si="30"/>
        <v>0</v>
      </c>
      <c r="K89" s="362">
        <f t="shared" ca="1" si="31"/>
        <v>0</v>
      </c>
    </row>
    <row r="90" spans="2:11">
      <c r="B90" s="513" t="s">
        <v>1035</v>
      </c>
      <c r="C90" s="512" t="s">
        <v>1621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14">
        <f>F84</f>
        <v>1</v>
      </c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ref="H90:H100" ca="1" si="32">IF(OR(D90="MDU",D90="MDU-KD"),(IF($O$3="RAB NON MDU","PLN KD",G90*F90)),0)</f>
        <v>0</v>
      </c>
      <c r="I90" s="361">
        <f t="shared" ref="I90:I100" ca="1" si="33">IF(D90="HDW",G90*F90,0)</f>
        <v>0</v>
      </c>
      <c r="J90" s="361">
        <f t="shared" ref="J90:J100" ca="1" si="34">IF(D90="JASA",G90*F90,0)</f>
        <v>0</v>
      </c>
      <c r="K90" s="362">
        <f t="shared" ref="K90:K100" ca="1" si="35">SUM(H90:J90)</f>
        <v>0</v>
      </c>
    </row>
    <row r="91" spans="2:11">
      <c r="B91" s="513">
        <v>1</v>
      </c>
      <c r="C91" s="512" t="s">
        <v>115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Set</v>
      </c>
      <c r="F91" s="514">
        <f>F90*1</f>
        <v>1</v>
      </c>
      <c r="G91" s="360">
        <f ca="1">IF(ISERROR(OFFSET('HARGA SATUAN'!$I$6,MATCH(RAB!C91,'HARGA SATUAN'!$C$7:$C$1492,0),0)),0,OFFSET('HARGA SATUAN'!$I$6,MATCH(RAB!C91,'HARGA SATUAN'!$C$7:$C$1492,0),0))</f>
        <v>11500</v>
      </c>
      <c r="H91" s="361">
        <f t="shared" ca="1" si="32"/>
        <v>0</v>
      </c>
      <c r="I91" s="361">
        <f t="shared" ca="1" si="33"/>
        <v>11500</v>
      </c>
      <c r="J91" s="361">
        <f t="shared" ca="1" si="34"/>
        <v>0</v>
      </c>
      <c r="K91" s="362">
        <f t="shared" ca="1" si="35"/>
        <v>11500</v>
      </c>
    </row>
    <row r="92" spans="2:11">
      <c r="B92" s="513">
        <v>2</v>
      </c>
      <c r="C92" s="512" t="s">
        <v>145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Set</v>
      </c>
      <c r="F92" s="514">
        <f>F90*1</f>
        <v>1</v>
      </c>
      <c r="G92" s="360">
        <f ca="1">IF(ISERROR(OFFSET('HARGA SATUAN'!$I$6,MATCH(RAB!C92,'HARGA SATUAN'!$C$7:$C$1492,0),0)),0,OFFSET('HARGA SATUAN'!$I$6,MATCH(RAB!C92,'HARGA SATUAN'!$C$7:$C$1492,0),0))</f>
        <v>6200</v>
      </c>
      <c r="H92" s="361">
        <f t="shared" ca="1" si="32"/>
        <v>0</v>
      </c>
      <c r="I92" s="361">
        <f t="shared" ca="1" si="33"/>
        <v>6200</v>
      </c>
      <c r="J92" s="361">
        <f t="shared" ca="1" si="34"/>
        <v>0</v>
      </c>
      <c r="K92" s="362">
        <f t="shared" ca="1" si="35"/>
        <v>6200</v>
      </c>
    </row>
    <row r="93" spans="2:11">
      <c r="B93" s="513">
        <v>3</v>
      </c>
      <c r="C93" s="512" t="s">
        <v>587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Btg</v>
      </c>
      <c r="F93" s="514">
        <f>F90*1</f>
        <v>1</v>
      </c>
      <c r="G93" s="360">
        <f ca="1">IF(ISERROR(OFFSET('HARGA SATUAN'!$I$6,MATCH(RAB!C93,'HARGA SATUAN'!$C$7:$C$1492,0),0)),0,OFFSET('HARGA SATUAN'!$I$6,MATCH(RAB!C93,'HARGA SATUAN'!$C$7:$C$1492,0),0))</f>
        <v>45796</v>
      </c>
      <c r="H93" s="361">
        <f t="shared" ca="1" si="32"/>
        <v>0</v>
      </c>
      <c r="I93" s="361">
        <f t="shared" ca="1" si="33"/>
        <v>45796</v>
      </c>
      <c r="J93" s="361">
        <f t="shared" ca="1" si="34"/>
        <v>0</v>
      </c>
      <c r="K93" s="362">
        <f t="shared" ca="1" si="35"/>
        <v>45796</v>
      </c>
    </row>
    <row r="94" spans="2:11">
      <c r="B94" s="513">
        <v>4</v>
      </c>
      <c r="C94" s="512" t="s">
        <v>118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Set</v>
      </c>
      <c r="F94" s="514">
        <f>F90*1</f>
        <v>1</v>
      </c>
      <c r="G94" s="360">
        <f ca="1">IF(ISERROR(OFFSET('HARGA SATUAN'!$I$6,MATCH(RAB!C94,'HARGA SATUAN'!$C$7:$C$1492,0),0)),0,OFFSET('HARGA SATUAN'!$I$6,MATCH(RAB!C94,'HARGA SATUAN'!$C$7:$C$1492,0),0))</f>
        <v>5300</v>
      </c>
      <c r="H94" s="361">
        <f t="shared" ca="1" si="32"/>
        <v>0</v>
      </c>
      <c r="I94" s="361">
        <f t="shared" ca="1" si="33"/>
        <v>5300</v>
      </c>
      <c r="J94" s="361">
        <f t="shared" ca="1" si="34"/>
        <v>0</v>
      </c>
      <c r="K94" s="362">
        <f t="shared" ca="1" si="35"/>
        <v>5300</v>
      </c>
    </row>
    <row r="95" spans="2:11">
      <c r="B95" s="513">
        <v>5</v>
      </c>
      <c r="C95" s="512" t="s">
        <v>117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14">
        <f>F90*1</f>
        <v>1</v>
      </c>
      <c r="G95" s="360">
        <f ca="1">IF(ISERROR(OFFSET('HARGA SATUAN'!$I$6,MATCH(RAB!C95,'HARGA SATUAN'!$C$7:$C$1492,0),0)),0,OFFSET('HARGA SATUAN'!$I$6,MATCH(RAB!C95,'HARGA SATUAN'!$C$7:$C$1492,0),0))</f>
        <v>58600</v>
      </c>
      <c r="H95" s="361">
        <f t="shared" ca="1" si="32"/>
        <v>0</v>
      </c>
      <c r="I95" s="361">
        <f t="shared" ca="1" si="33"/>
        <v>58600</v>
      </c>
      <c r="J95" s="361">
        <f t="shared" ca="1" si="34"/>
        <v>0</v>
      </c>
      <c r="K95" s="362">
        <f t="shared" ca="1" si="35"/>
        <v>58600</v>
      </c>
    </row>
    <row r="96" spans="2:11">
      <c r="B96" s="513">
        <v>6</v>
      </c>
      <c r="C96" s="109" t="s">
        <v>1154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Set</v>
      </c>
      <c r="F96" s="514">
        <f>F90*1</f>
        <v>1</v>
      </c>
      <c r="G96" s="360">
        <f ca="1">IF(ISERROR(OFFSET('HARGA SATUAN'!$I$6,MATCH(RAB!C96,'HARGA SATUAN'!$C$7:$C$1492,0),0)),0,OFFSET('HARGA SATUAN'!$I$6,MATCH(RAB!C96,'HARGA SATUAN'!$C$7:$C$1492,0),0))</f>
        <v>3888</v>
      </c>
      <c r="H96" s="361">
        <f t="shared" ca="1" si="32"/>
        <v>0</v>
      </c>
      <c r="I96" s="361">
        <f t="shared" ca="1" si="33"/>
        <v>3888</v>
      </c>
      <c r="J96" s="361">
        <f t="shared" ca="1" si="34"/>
        <v>0</v>
      </c>
      <c r="K96" s="362">
        <f t="shared" ca="1" si="35"/>
        <v>3888</v>
      </c>
    </row>
    <row r="97" spans="2:13">
      <c r="B97" s="513">
        <v>7</v>
      </c>
      <c r="C97" s="512" t="s">
        <v>119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Set</v>
      </c>
      <c r="F97" s="514">
        <f>F90*2</f>
        <v>2</v>
      </c>
      <c r="G97" s="360">
        <f ca="1">IF(ISERROR(OFFSET('HARGA SATUAN'!$I$6,MATCH(RAB!C97,'HARGA SATUAN'!$C$7:$C$1492,0),0)),0,OFFSET('HARGA SATUAN'!$I$6,MATCH(RAB!C97,'HARGA SATUAN'!$C$7:$C$1492,0),0))</f>
        <v>8900</v>
      </c>
      <c r="H97" s="361">
        <f t="shared" ca="1" si="32"/>
        <v>0</v>
      </c>
      <c r="I97" s="361">
        <f t="shared" ca="1" si="33"/>
        <v>17800</v>
      </c>
      <c r="J97" s="361">
        <f t="shared" ca="1" si="34"/>
        <v>0</v>
      </c>
      <c r="K97" s="362">
        <f t="shared" ca="1" si="35"/>
        <v>17800</v>
      </c>
    </row>
    <row r="98" spans="2:13">
      <c r="B98" s="504"/>
      <c r="C98" s="505"/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/>
      </c>
      <c r="F98" s="368"/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32"/>
        <v>0</v>
      </c>
      <c r="I98" s="361">
        <f t="shared" ca="1" si="33"/>
        <v>0</v>
      </c>
      <c r="J98" s="361">
        <f t="shared" ca="1" si="34"/>
        <v>0</v>
      </c>
      <c r="K98" s="362">
        <f t="shared" ca="1" si="35"/>
        <v>0</v>
      </c>
    </row>
    <row r="99" spans="2:13">
      <c r="B99" s="366" t="s">
        <v>22</v>
      </c>
      <c r="C99" s="367" t="s">
        <v>1611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368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32"/>
        <v>0</v>
      </c>
      <c r="I99" s="361">
        <f t="shared" ca="1" si="33"/>
        <v>0</v>
      </c>
      <c r="J99" s="361">
        <f t="shared" ca="1" si="34"/>
        <v>0</v>
      </c>
      <c r="K99" s="362">
        <f t="shared" ca="1" si="35"/>
        <v>0</v>
      </c>
    </row>
    <row r="100" spans="2:13">
      <c r="B100" s="373"/>
      <c r="C100" s="372"/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368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32"/>
        <v>0</v>
      </c>
      <c r="I100" s="361">
        <f t="shared" ca="1" si="33"/>
        <v>0</v>
      </c>
      <c r="J100" s="361">
        <f t="shared" ca="1" si="34"/>
        <v>0</v>
      </c>
      <c r="K100" s="362">
        <f t="shared" ca="1" si="35"/>
        <v>0</v>
      </c>
    </row>
    <row r="101" spans="2:13">
      <c r="B101" s="374"/>
      <c r="C101" s="375" t="s">
        <v>475</v>
      </c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368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ref="H101" ca="1" si="36">IF(OR(D101="MDU",D101="MDU-KD"),(IF($O$3="RAB NON MDU","PLN KD",G101*F101)),0)</f>
        <v>0</v>
      </c>
      <c r="I101" s="361">
        <f t="shared" ref="I101" ca="1" si="37">IF(D101="HDW",G101*F101,0)</f>
        <v>0</v>
      </c>
      <c r="J101" s="361">
        <f t="shared" ref="J101" ca="1" si="38">IF(D101="JASA",G101*F101,0)</f>
        <v>0</v>
      </c>
      <c r="K101" s="362">
        <f t="shared" ref="K101" ca="1" si="39">SUM(H101:J101)</f>
        <v>0</v>
      </c>
    </row>
    <row r="102" spans="2:13">
      <c r="B102" s="377">
        <v>1</v>
      </c>
      <c r="C102" s="378" t="s">
        <v>1091</v>
      </c>
      <c r="D102" s="379" t="str">
        <f ca="1">IF(ISERROR(OFFSET('HARGA SATUAN'!$D$6,MATCH(RAB!C102,'HARGA SATUAN'!$C$7:$C$1492,0),0)),"",OFFSET('HARGA SATUAN'!$D$6,MATCH(RAB!C102,'HARGA SATUAN'!$C$7:$C$1492,0),0))</f>
        <v>JASA</v>
      </c>
      <c r="E102" s="380" t="str">
        <f ca="1">IF(ISERROR(OFFSET('HARGA SATUAN'!$E$6,MATCH(RAB!C102,'HARGA SATUAN'!$C$7:$C$1492,0),0)),"",OFFSET('HARGA SATUAN'!$E$6,MATCH(RAB!C102,'HARGA SATUAN'!$C$7:$C$1492,0),0))</f>
        <v>Lot</v>
      </c>
      <c r="F102" s="381">
        <v>1</v>
      </c>
      <c r="G102" s="382">
        <f ca="1">IF(ISERROR(OFFSET('HARGA SATUAN'!$I$6,MATCH(RAB!C102,'HARGA SATUAN'!$C$7:$C$1492,0),0)),0,OFFSET('HARGA SATUAN'!$I$6,MATCH(RAB!C102,'HARGA SATUAN'!$C$7:$C$1492,0),0))</f>
        <v>2.5000000000000001E-2</v>
      </c>
      <c r="H102" s="383"/>
      <c r="I102" s="383"/>
      <c r="J102" s="383">
        <f ca="1">SUM(K15:K20)*G102</f>
        <v>145251.66666666669</v>
      </c>
      <c r="K102" s="384">
        <f ca="1">SUM(H102:J102)</f>
        <v>145251.66666666669</v>
      </c>
    </row>
    <row r="103" spans="2:13">
      <c r="B103" s="385"/>
      <c r="C103" s="386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IF(ISERROR(OFFSET('HARGA SATUAN'!$E$6,MATCH(RAB!C103,'HARGA SATUAN'!$C$7:$C$1492,0),0)),"",OFFSET('HARGA SATUAN'!$E$6,MATCH(RAB!C103,'HARGA SATUAN'!$C$7:$C$1492,0),0))</f>
        <v/>
      </c>
      <c r="F103" s="376"/>
      <c r="G103" s="360" t="str">
        <f ca="1">IF(ISERROR(OFFSET('HARGA SATUAN'!$I$6,MATCH(RAB!C103,'HARGA SATUAN'!$C$7:$C$1492,0),0)),"",OFFSET('HARGA SATUAN'!$I$6,MATCH(RAB!C103,'HARGA SATUAN'!$C$7:$C$1492,0),0))</f>
        <v/>
      </c>
      <c r="H103" s="361">
        <f ca="1">IF(OR(D103="MDU",D103="MDU-KD"),IF(G103="PLN",0,G103*F103),0)</f>
        <v>0</v>
      </c>
      <c r="I103" s="361">
        <f ca="1">IF(D103="HDW",IF(G103="PLN",0,G103*F103),0)</f>
        <v>0</v>
      </c>
      <c r="J103" s="361">
        <f ca="1">IF(D103="JASA",IF(G103="PLN",0,G103*F103),0)</f>
        <v>0</v>
      </c>
      <c r="K103" s="362">
        <f ca="1">SUM(H103:J103)</f>
        <v>0</v>
      </c>
    </row>
    <row r="104" spans="2:13" ht="15.75" thickBot="1">
      <c r="B104" s="387"/>
      <c r="C104" s="388"/>
      <c r="D104" s="389"/>
      <c r="E104" s="390"/>
      <c r="F104" s="390"/>
      <c r="G104" s="390"/>
      <c r="H104" s="391"/>
      <c r="I104" s="391"/>
      <c r="J104" s="391"/>
      <c r="K104" s="392"/>
    </row>
    <row r="105" spans="2:13">
      <c r="B105" s="393"/>
      <c r="C105" s="639" t="s">
        <v>1008</v>
      </c>
      <c r="D105" s="639"/>
      <c r="E105" s="639"/>
      <c r="F105" s="639"/>
      <c r="G105" s="394" t="s">
        <v>9</v>
      </c>
      <c r="H105" s="395">
        <f ca="1">SUM(H14:H103)</f>
        <v>45923650</v>
      </c>
      <c r="I105" s="395">
        <f ca="1">SUM(I14:I103)</f>
        <v>9553878.2400000002</v>
      </c>
      <c r="J105" s="395">
        <f ca="1">SUM(J14:J103)</f>
        <v>1626418.3333333333</v>
      </c>
      <c r="K105" s="395">
        <f ca="1">SUM(K14:K103)</f>
        <v>57103946.57333333</v>
      </c>
    </row>
    <row r="106" spans="2:13">
      <c r="B106" s="396"/>
      <c r="C106" s="622" t="s">
        <v>1457</v>
      </c>
      <c r="D106" s="622"/>
      <c r="E106" s="622"/>
      <c r="F106" s="622"/>
      <c r="G106" s="397" t="s">
        <v>9</v>
      </c>
      <c r="H106" s="398">
        <f ca="1">H105*0.11</f>
        <v>5051601.5</v>
      </c>
      <c r="I106" s="398">
        <f ca="1">I105*0.11</f>
        <v>1050926.6063999999</v>
      </c>
      <c r="J106" s="398">
        <f ca="1">J105*0.11</f>
        <v>178906.01666666666</v>
      </c>
      <c r="K106" s="398">
        <f ca="1">K105*0.11</f>
        <v>6281434.1230666665</v>
      </c>
    </row>
    <row r="107" spans="2:13" ht="15.75" thickBot="1">
      <c r="B107" s="396"/>
      <c r="C107" s="620" t="s">
        <v>463</v>
      </c>
      <c r="D107" s="620"/>
      <c r="E107" s="620"/>
      <c r="F107" s="620"/>
      <c r="G107" s="399" t="s">
        <v>9</v>
      </c>
      <c r="H107" s="400">
        <f ca="1">SUM(H105:H106)</f>
        <v>50975251.5</v>
      </c>
      <c r="I107" s="400">
        <f ca="1">SUM(I105:I106)</f>
        <v>10604804.8464</v>
      </c>
      <c r="J107" s="399">
        <f ca="1">SUM(J105:J106)</f>
        <v>1805324.3499999999</v>
      </c>
      <c r="K107" s="399">
        <f ca="1">SUM(K105:K106)</f>
        <v>63385380.696399994</v>
      </c>
      <c r="M107" s="482"/>
    </row>
    <row r="108" spans="2:13">
      <c r="B108" s="623" t="str">
        <f ca="1">"Terbilang : "&amp;PROPER(IF(K107=0,"nol",IF(K107&lt;0,"minus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IF(--MID(TEXT(ABS(K107),"000000000000000"),1,3)=0,"",MID(TEXT(ABS(K107),"000000000000000"),1,1)&amp;" ratus "&amp;MID(TEXT(ABS(K107),"000000000000000"),2,1)&amp;" puluh "&amp;MID(TEXT(ABS(K107),"000000000000000"),3,1)&amp;" trilyun ")&amp; IF(--MID(TEXT(ABS(K107),"000000000000000"),4,3)=0,"",MID(TEXT(ABS(K107),"000000000000000"),4,1)&amp;" ratus "&amp;MID(TEXT(ABS(K107),"000000000000000"),5,1)&amp;" puluh "&amp;MID(TEXT(ABS(K107),"000000000000000"),6,1)&amp;" milyar ")&amp; IF(--MID(TEXT(ABS(K107),"000000000000000"),7,3)=0,"",MID(TEXT(ABS(K107),"000000000000000"),7,1)&amp;" ratus "&amp;MID(TEXT(ABS(K107),"000000000000000"),8,1)&amp;" puluh "&amp;MID(TEXT(ABS(K107),"000000000000000"),9,1)&amp;" juta ")&amp; IF(--MID(TEXT(ABS(K107),"000000000000000"),10,3)=0,"",IF(--MID(TEXT(ABS(K107),"000000000000000"),10,3)=1,"*",MID(TEXT(ABS(K107),"000000000000000"),10,1)&amp;" ratus "&amp;MID(TEXT(ABS(K107),"000000000000000"),11,1)&amp;" puluh ")&amp;MID(TEXT(ABS(K107),"000000000000000"),12,1)&amp;" ribu ")&amp; IF(--MID(TEXT(ABS(K107),"000000000000000"),13,3)=0,"",MID(TEXT(ABS(K107),"000000000000000"),13,1)&amp;" ratus "&amp;MID(TEXT(ABS(K107),"000000000000000"),14,1)&amp;" puluh "&amp;MID(TEXT(ABS(K107),"000000000000000"),15,1)),1,"satu"),2,"dua"),3,"tiga"),4,"empat"),5,"lima"),6,"enam"),7,"tujuh"),8,"delapan"),9,"sembilan"),"0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Tiga Juta Tiga Ratus Delapan Puluh Lima Ribu Tiga Ratus Delapan Puluh Satu Rupiah</v>
      </c>
      <c r="C108" s="624"/>
      <c r="D108" s="624"/>
      <c r="E108" s="624"/>
      <c r="F108" s="624"/>
      <c r="G108" s="624"/>
      <c r="H108" s="624"/>
      <c r="I108" s="624"/>
      <c r="J108" s="624"/>
      <c r="K108" s="625"/>
    </row>
    <row r="109" spans="2:13">
      <c r="B109" s="626"/>
      <c r="C109" s="627"/>
      <c r="D109" s="627"/>
      <c r="E109" s="627"/>
      <c r="F109" s="627"/>
      <c r="G109" s="627"/>
      <c r="H109" s="627"/>
      <c r="I109" s="627"/>
      <c r="J109" s="627"/>
      <c r="K109" s="628"/>
    </row>
    <row r="110" spans="2:13" ht="15.75" thickBot="1">
      <c r="B110" s="401" t="str">
        <f>"Harga yang dipakai adalah "&amp;'HARGA SATUAN'!I5&amp;""</f>
        <v>Harga yang dipakai adalah RAB HSS 2023</v>
      </c>
      <c r="C110" s="402"/>
      <c r="D110" s="403"/>
      <c r="E110" s="403"/>
      <c r="F110" s="403"/>
      <c r="G110" s="404"/>
      <c r="H110" s="404"/>
      <c r="I110" s="404"/>
      <c r="J110" s="404"/>
      <c r="K110" s="405"/>
    </row>
    <row r="111" spans="2:13">
      <c r="C111" s="406"/>
      <c r="E111" s="408"/>
      <c r="F111" s="408"/>
      <c r="G111" s="408"/>
    </row>
    <row r="112" spans="2:13">
      <c r="C112" s="337"/>
      <c r="E112" s="408"/>
      <c r="F112" s="408"/>
      <c r="G112" s="408"/>
      <c r="H112" s="629"/>
      <c r="I112" s="629"/>
      <c r="J112" s="630"/>
      <c r="K112" s="630"/>
    </row>
    <row r="113" spans="3:11">
      <c r="C113" s="337"/>
      <c r="E113" s="408"/>
      <c r="F113" s="408"/>
      <c r="G113" s="408"/>
      <c r="H113" s="409"/>
      <c r="I113" s="619" t="s">
        <v>1633</v>
      </c>
      <c r="J113" s="619"/>
      <c r="K113" s="619"/>
    </row>
    <row r="114" spans="3:11">
      <c r="C114" s="337"/>
      <c r="E114" s="408"/>
      <c r="F114" s="408"/>
      <c r="G114" s="408"/>
      <c r="H114" s="409"/>
      <c r="I114" s="619" t="s">
        <v>1634</v>
      </c>
      <c r="J114" s="619"/>
      <c r="K114" s="619"/>
    </row>
    <row r="115" spans="3:11">
      <c r="C115" s="337"/>
      <c r="E115" s="408"/>
      <c r="F115" s="408"/>
      <c r="G115" s="408"/>
      <c r="H115" s="410"/>
      <c r="I115" s="411"/>
      <c r="J115" s="411"/>
      <c r="K115" s="411"/>
    </row>
    <row r="116" spans="3:11">
      <c r="C116" s="337"/>
      <c r="E116" s="408"/>
      <c r="F116" s="408"/>
      <c r="G116" s="408"/>
      <c r="H116" s="410"/>
      <c r="I116" s="410"/>
      <c r="J116" s="410"/>
      <c r="K116" s="410"/>
    </row>
    <row r="117" spans="3:11">
      <c r="C117" s="337"/>
      <c r="E117" s="408"/>
      <c r="F117" s="408"/>
      <c r="G117" s="408"/>
      <c r="H117" s="410"/>
      <c r="I117" s="410"/>
      <c r="J117" s="410"/>
      <c r="K117" s="410"/>
    </row>
    <row r="118" spans="3:11">
      <c r="C118" s="337"/>
      <c r="E118" s="408"/>
      <c r="F118" s="408"/>
      <c r="G118" s="408"/>
      <c r="H118" s="410"/>
      <c r="I118" s="410"/>
      <c r="J118" s="410"/>
      <c r="K118" s="410"/>
    </row>
    <row r="119" spans="3:11">
      <c r="C119" s="337"/>
      <c r="E119" s="408"/>
      <c r="F119" s="408"/>
      <c r="G119" s="408"/>
      <c r="H119" s="412"/>
      <c r="I119" s="619" t="s">
        <v>1635</v>
      </c>
      <c r="J119" s="619"/>
      <c r="K119" s="619"/>
    </row>
    <row r="120" spans="3:11">
      <c r="C120" s="406"/>
      <c r="E120" s="408"/>
      <c r="F120" s="408"/>
      <c r="G120" s="408"/>
      <c r="H120" s="410"/>
      <c r="I120" s="410"/>
      <c r="J120" s="410"/>
      <c r="K120" s="410"/>
    </row>
    <row r="121" spans="3:11">
      <c r="C121" s="406"/>
      <c r="E121" s="408"/>
      <c r="F121" s="408"/>
      <c r="G121" s="408"/>
      <c r="H121" s="410"/>
      <c r="I121" s="410"/>
      <c r="J121" s="410"/>
      <c r="K121" s="410"/>
    </row>
    <row r="122" spans="3:11">
      <c r="C122" s="406"/>
      <c r="E122" s="408"/>
      <c r="F122" s="408"/>
      <c r="G122" s="408"/>
      <c r="H122" s="410"/>
      <c r="I122" s="410"/>
      <c r="J122" s="410"/>
      <c r="K122" s="410"/>
    </row>
  </sheetData>
  <sheetProtection sort="0" autoFilter="0"/>
  <protectedRanges>
    <protectedRange sqref="B100 B84:B98" name="Range1_1"/>
    <protectedRange sqref="F14:F44 F46:F64 F75 F82:F101" name="Range1_1_2_2"/>
    <protectedRange sqref="C100 C84:C85 C87" name="Range1_1_1"/>
    <protectedRange sqref="C88:C98" name="Range1_1_3_2"/>
    <protectedRange sqref="C17" name="Range1_1_3_5"/>
    <protectedRange sqref="C18" name="Range1_1_3_6"/>
    <protectedRange sqref="C19" name="Range1_1_3"/>
    <protectedRange sqref="G45" name="Range1_3_7"/>
    <protectedRange sqref="C44 C55" name="Range1_1_3_4"/>
    <protectedRange sqref="C45" name="Range1_1_3_7"/>
    <protectedRange sqref="C60" name="Range1_1_3_1"/>
    <protectedRange sqref="C86" name="Range1_1_3_3"/>
  </protectedRanges>
  <mergeCells count="22">
    <mergeCell ref="O3:P4"/>
    <mergeCell ref="B4:K4"/>
    <mergeCell ref="C105:F105"/>
    <mergeCell ref="B11:B13"/>
    <mergeCell ref="C11:C13"/>
    <mergeCell ref="D11:D13"/>
    <mergeCell ref="E11:E13"/>
    <mergeCell ref="F11:F13"/>
    <mergeCell ref="G11:G13"/>
    <mergeCell ref="I12:I13"/>
    <mergeCell ref="I114:K114"/>
    <mergeCell ref="I119:K119"/>
    <mergeCell ref="C107:F107"/>
    <mergeCell ref="G6:K6"/>
    <mergeCell ref="I113:K113"/>
    <mergeCell ref="C106:F106"/>
    <mergeCell ref="B108:K109"/>
    <mergeCell ref="H112:K112"/>
    <mergeCell ref="H11:K11"/>
    <mergeCell ref="H12:H13"/>
    <mergeCell ref="J12:J13"/>
    <mergeCell ref="K12:K13"/>
  </mergeCells>
  <phoneticPr fontId="139" type="noConversion"/>
  <conditionalFormatting sqref="C15:C20">
    <cfRule type="cellIs" dxfId="17" priority="30" operator="equal">
      <formula>0</formula>
    </cfRule>
  </conditionalFormatting>
  <conditionalFormatting sqref="C44:C45">
    <cfRule type="cellIs" dxfId="16" priority="15" operator="equal">
      <formula>0</formula>
    </cfRule>
  </conditionalFormatting>
  <conditionalFormatting sqref="C49">
    <cfRule type="cellIs" dxfId="15" priority="118" operator="equal">
      <formula>0</formula>
    </cfRule>
  </conditionalFormatting>
  <conditionalFormatting sqref="C96">
    <cfRule type="cellIs" dxfId="14" priority="13" operator="equal">
      <formula>0</formula>
    </cfRule>
  </conditionalFormatting>
  <conditionalFormatting sqref="C99">
    <cfRule type="cellIs" dxfId="13" priority="24" operator="equal">
      <formula>0</formula>
    </cfRule>
  </conditionalFormatting>
  <conditionalFormatting sqref="D45:G45">
    <cfRule type="cellIs" dxfId="12" priority="17" operator="equal">
      <formula>0</formula>
    </cfRule>
  </conditionalFormatting>
  <conditionalFormatting sqref="E1:E3 G1:G13 E5:E13 H12:I12 O13 S14:V20 H45:K45 E102:G102 H102:K104 E103:H103 E104:F104 E14:K44 E46:K50 E64:K64 E51:E63 G51:K63 E65:E74 G65:K74 E75:K75 E76:E81 G76:K81 E82:K101">
    <cfRule type="cellIs" dxfId="11" priority="1073" stopIfTrue="1" operator="equal">
      <formula>0</formula>
    </cfRule>
  </conditionalFormatting>
  <conditionalFormatting sqref="G103:G65569 E108:E65569">
    <cfRule type="cellIs" dxfId="10" priority="207" stopIfTrue="1" operator="equal">
      <formula>0</formula>
    </cfRule>
  </conditionalFormatting>
  <conditionalFormatting sqref="F52:F63">
    <cfRule type="cellIs" dxfId="9" priority="10" stopIfTrue="1" operator="equal">
      <formula>0</formula>
    </cfRule>
  </conditionalFormatting>
  <conditionalFormatting sqref="C55">
    <cfRule type="cellIs" dxfId="8" priority="9" operator="equal">
      <formula>0</formula>
    </cfRule>
  </conditionalFormatting>
  <conditionalFormatting sqref="C60">
    <cfRule type="cellIs" dxfId="7" priority="8" operator="equal">
      <formula>0</formula>
    </cfRule>
  </conditionalFormatting>
  <conditionalFormatting sqref="F65:F74">
    <cfRule type="cellIs" dxfId="6" priority="7" stopIfTrue="1" operator="equal">
      <formula>0</formula>
    </cfRule>
  </conditionalFormatting>
  <conditionalFormatting sqref="C78">
    <cfRule type="cellIs" dxfId="5" priority="5" operator="equal">
      <formula>0</formula>
    </cfRule>
  </conditionalFormatting>
  <conditionalFormatting sqref="C80">
    <cfRule type="cellIs" dxfId="4" priority="6" operator="equal">
      <formula>0</formula>
    </cfRule>
  </conditionalFormatting>
  <conditionalFormatting sqref="F76:F79 F81">
    <cfRule type="cellIs" dxfId="3" priority="4" stopIfTrue="1" operator="equal">
      <formula>0</formula>
    </cfRule>
  </conditionalFormatting>
  <conditionalFormatting sqref="F80">
    <cfRule type="cellIs" dxfId="2" priority="3" stopIfTrue="1" operator="equal">
      <formula>0</formula>
    </cfRule>
  </conditionalFormatting>
  <conditionalFormatting sqref="C85">
    <cfRule type="cellIs" dxfId="1" priority="2" operator="equal">
      <formula>0</formula>
    </cfRule>
  </conditionalFormatting>
  <conditionalFormatting sqref="C86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22:F34 F36:F41 F52:F63 C53:C54 C61:C63 F65:F74 F76:F81 H14:K10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5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2" zoomScale="85" zoomScaleNormal="115" zoomScaleSheetLayoutView="85" workbookViewId="0">
      <selection activeCell="AN38" sqref="AN3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2" t="s">
        <v>1439</v>
      </c>
      <c r="X2" s="703"/>
      <c r="Y2" s="703"/>
      <c r="Z2" s="703"/>
      <c r="AA2" s="703"/>
      <c r="AB2" s="703"/>
      <c r="AC2" s="703"/>
      <c r="AD2" s="704"/>
    </row>
    <row r="3" spans="3:30">
      <c r="C3" s="238"/>
      <c r="W3" s="705"/>
      <c r="X3" s="706"/>
      <c r="Y3" s="706"/>
      <c r="Z3" s="706"/>
      <c r="AA3" s="706"/>
      <c r="AB3" s="706"/>
      <c r="AC3" s="706"/>
      <c r="AD3" s="70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238"/>
      <c r="W6" s="24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238"/>
      <c r="E7" s="488" t="s">
        <v>1623</v>
      </c>
      <c r="W7" s="24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238"/>
      <c r="W8" s="24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238"/>
      <c r="W9" s="24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238"/>
      <c r="W10" s="24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238"/>
      <c r="W11" s="24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238"/>
      <c r="W12" s="24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238"/>
      <c r="W13" s="24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238"/>
      <c r="W14" s="24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238"/>
      <c r="W15" s="24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238"/>
      <c r="W16" s="241">
        <v>11</v>
      </c>
      <c r="X16" s="651" t="s">
        <v>1455</v>
      </c>
      <c r="Y16" s="651"/>
      <c r="Z16" s="651"/>
      <c r="AA16" s="651"/>
      <c r="AB16" s="651"/>
      <c r="AC16" s="651"/>
      <c r="AD16" s="652"/>
    </row>
    <row r="17" spans="3:30">
      <c r="C17" s="238"/>
      <c r="S17" s="242"/>
      <c r="W17" s="24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243"/>
      <c r="D18" s="244"/>
      <c r="E18" s="244"/>
      <c r="W18" s="24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238"/>
      <c r="W19" s="245"/>
      <c r="X19" s="700"/>
      <c r="Y19" s="700"/>
      <c r="Z19" s="700"/>
      <c r="AA19" s="700"/>
      <c r="AB19" s="700"/>
      <c r="AC19" s="700"/>
      <c r="AD19" s="701"/>
    </row>
    <row r="20" spans="3:30">
      <c r="C20" s="238"/>
      <c r="W20" s="687" t="s">
        <v>992</v>
      </c>
      <c r="X20" s="688"/>
      <c r="Y20" s="688"/>
      <c r="Z20" s="688"/>
      <c r="AA20" s="688"/>
      <c r="AB20" s="688"/>
      <c r="AC20" s="688"/>
      <c r="AD20" s="689"/>
    </row>
    <row r="21" spans="3:30">
      <c r="C21" s="238"/>
      <c r="W21" s="690" t="s">
        <v>985</v>
      </c>
      <c r="X21" s="691"/>
      <c r="Y21" s="691"/>
      <c r="Z21" s="692"/>
      <c r="AA21" s="693" t="s">
        <v>986</v>
      </c>
      <c r="AB21" s="694"/>
      <c r="AC21" s="694"/>
      <c r="AD21" s="695"/>
    </row>
    <row r="22" spans="3:30">
      <c r="C22" s="238"/>
      <c r="W22" s="696"/>
      <c r="X22" s="697"/>
      <c r="Y22" s="490"/>
      <c r="Z22" s="491"/>
      <c r="AA22" s="698"/>
      <c r="AB22" s="699"/>
      <c r="AC22" s="248"/>
      <c r="AD22" s="249"/>
    </row>
    <row r="23" spans="3:30">
      <c r="C23" s="238"/>
      <c r="W23" s="696"/>
      <c r="X23" s="697"/>
      <c r="Y23" s="490"/>
      <c r="Z23" s="491"/>
      <c r="AA23" s="685"/>
      <c r="AB23" s="686"/>
      <c r="AC23" s="248"/>
      <c r="AD23" s="249"/>
    </row>
    <row r="24" spans="3:30">
      <c r="C24" s="238"/>
      <c r="W24" s="680"/>
      <c r="X24" s="682"/>
      <c r="Y24" s="246"/>
      <c r="Z24" s="247"/>
      <c r="AA24" s="683"/>
      <c r="AB24" s="684"/>
      <c r="AC24" s="248"/>
      <c r="AD24" s="249"/>
    </row>
    <row r="25" spans="3:30">
      <c r="C25" s="238"/>
      <c r="W25" s="680"/>
      <c r="X25" s="682"/>
      <c r="Y25" s="246"/>
      <c r="Z25" s="247"/>
      <c r="AA25" s="685"/>
      <c r="AB25" s="686"/>
      <c r="AC25" s="248"/>
      <c r="AD25" s="249"/>
    </row>
    <row r="26" spans="3:30">
      <c r="C26" s="238"/>
      <c r="W26" s="478"/>
      <c r="X26" s="479"/>
      <c r="Y26" s="246"/>
      <c r="Z26" s="247"/>
      <c r="AA26" s="685"/>
      <c r="AB26" s="686"/>
      <c r="AC26" s="248"/>
      <c r="AD26" s="249"/>
    </row>
    <row r="27" spans="3:30">
      <c r="C27" s="238"/>
      <c r="W27" s="478"/>
      <c r="X27" s="479"/>
      <c r="Y27" s="246"/>
      <c r="Z27" s="247"/>
      <c r="AA27" s="679"/>
      <c r="AB27" s="674"/>
      <c r="AC27" s="248"/>
      <c r="AD27" s="249"/>
    </row>
    <row r="28" spans="3:30">
      <c r="C28" s="238"/>
      <c r="W28" s="478"/>
      <c r="X28" s="479"/>
      <c r="Y28" s="246"/>
      <c r="Z28" s="247"/>
      <c r="AA28" s="679"/>
      <c r="AB28" s="674"/>
      <c r="AC28" s="248"/>
      <c r="AD28" s="249"/>
    </row>
    <row r="29" spans="3:30">
      <c r="C29" s="238"/>
      <c r="W29" s="478"/>
      <c r="X29" s="479"/>
      <c r="Y29" s="246"/>
      <c r="Z29" s="247"/>
      <c r="AA29" s="679"/>
      <c r="AB29" s="674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9"/>
      <c r="AB30" s="674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9"/>
      <c r="AB31" s="674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9"/>
      <c r="AB32" s="674"/>
      <c r="AC32" s="248"/>
      <c r="AD32" s="249"/>
    </row>
    <row r="33" spans="3:30">
      <c r="C33" s="238"/>
      <c r="W33" s="478"/>
      <c r="X33" s="479"/>
      <c r="Y33" s="246"/>
      <c r="Z33" s="247"/>
      <c r="AA33" s="679"/>
      <c r="AB33" s="674"/>
      <c r="AC33" s="248"/>
      <c r="AD33" s="249"/>
    </row>
    <row r="34" spans="3:30">
      <c r="C34" s="238"/>
      <c r="W34" s="478"/>
      <c r="X34" s="479"/>
      <c r="Y34" s="246"/>
      <c r="Z34" s="247"/>
      <c r="AA34" s="679"/>
      <c r="AB34" s="674"/>
      <c r="AC34" s="248"/>
      <c r="AD34" s="249"/>
    </row>
    <row r="35" spans="3:30">
      <c r="C35" s="238"/>
      <c r="W35" s="680"/>
      <c r="X35" s="681"/>
      <c r="Y35" s="246"/>
      <c r="Z35" s="247"/>
      <c r="AA35" s="679"/>
      <c r="AB35" s="674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74"/>
      <c r="AC36" s="248"/>
      <c r="AD36" s="249"/>
    </row>
    <row r="37" spans="3:30" ht="12.75" customHeight="1">
      <c r="C37" s="238"/>
      <c r="W37" s="675"/>
      <c r="X37" s="676"/>
      <c r="Y37" s="246"/>
      <c r="Z37" s="251"/>
      <c r="AA37" s="677"/>
      <c r="AB37" s="678"/>
      <c r="AC37" s="252"/>
      <c r="AD37" s="253"/>
    </row>
    <row r="38" spans="3:30" ht="12.75" customHeight="1">
      <c r="C38" s="238"/>
      <c r="W38" s="675"/>
      <c r="X38" s="67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5"/>
      <c r="X39" s="676"/>
      <c r="Y39" s="254"/>
      <c r="Z39" s="257"/>
      <c r="AA39" s="667"/>
      <c r="AB39" s="668"/>
      <c r="AC39" s="252"/>
      <c r="AD39" s="253"/>
    </row>
    <row r="40" spans="3:30" ht="12" customHeight="1">
      <c r="C40" s="238"/>
      <c r="W40" s="663"/>
      <c r="X40" s="664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5"/>
      <c r="X41" s="666"/>
      <c r="Y41" s="260"/>
      <c r="Z41" s="261"/>
      <c r="AA41" s="667"/>
      <c r="AB41" s="668"/>
      <c r="AC41" s="252"/>
      <c r="AD41" s="253"/>
    </row>
    <row r="42" spans="3:30" ht="12" customHeight="1">
      <c r="C42" s="238"/>
      <c r="W42" s="669" t="s">
        <v>1456</v>
      </c>
      <c r="X42" s="670"/>
      <c r="Y42" s="670"/>
      <c r="Z42" s="67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8" t="s">
        <v>11</v>
      </c>
      <c r="X44" s="649"/>
      <c r="Y44" s="651"/>
      <c r="Z44" s="651"/>
      <c r="AA44" s="651"/>
      <c r="AB44" s="651"/>
      <c r="AC44" s="651"/>
      <c r="AD44" s="65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8" t="s">
        <v>984</v>
      </c>
      <c r="X45" s="649"/>
      <c r="Y45" s="651">
        <v>1</v>
      </c>
      <c r="Z45" s="651"/>
      <c r="AA45" s="651"/>
      <c r="AB45" s="651" t="s">
        <v>12</v>
      </c>
      <c r="AC45" s="65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8" t="s">
        <v>15</v>
      </c>
      <c r="X46" s="649"/>
      <c r="Y46" s="662"/>
      <c r="Z46" s="662"/>
      <c r="AA46" s="662"/>
      <c r="AB46" s="651" t="s">
        <v>16</v>
      </c>
      <c r="AC46" s="65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6" t="s">
        <v>17</v>
      </c>
      <c r="X47" s="656"/>
      <c r="Y47" s="656"/>
      <c r="Z47" s="656"/>
      <c r="AA47" s="656"/>
      <c r="AB47" s="656"/>
      <c r="AC47" s="656"/>
      <c r="AD47" s="65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8" t="str">
        <f>RAB!G6</f>
        <v xml:space="preserve"> ERA ISNAINI (GUDANG ROSOK)</v>
      </c>
      <c r="X48" s="658"/>
      <c r="Y48" s="658"/>
      <c r="Z48" s="658"/>
      <c r="AA48" s="658"/>
      <c r="AB48" s="658"/>
      <c r="AC48" s="658"/>
      <c r="AD48" s="65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8"/>
      <c r="X49" s="658"/>
      <c r="Y49" s="658"/>
      <c r="Z49" s="658"/>
      <c r="AA49" s="658"/>
      <c r="AB49" s="658"/>
      <c r="AC49" s="658"/>
      <c r="AD49" s="65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8"/>
      <c r="X50" s="658"/>
      <c r="Y50" s="658"/>
      <c r="Z50" s="658"/>
      <c r="AA50" s="658"/>
      <c r="AB50" s="658"/>
      <c r="AC50" s="658"/>
      <c r="AD50" s="65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0"/>
      <c r="X51" s="660"/>
      <c r="Y51" s="660"/>
      <c r="Z51" s="660"/>
      <c r="AA51" s="660"/>
      <c r="AB51" s="660"/>
      <c r="AC51" s="660"/>
      <c r="AD51" s="66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8" t="s">
        <v>18</v>
      </c>
      <c r="X52" s="649"/>
      <c r="Y52" s="651" t="s">
        <v>1629</v>
      </c>
      <c r="Z52" s="651"/>
      <c r="AA52" s="651"/>
      <c r="AB52" s="651"/>
      <c r="AC52" s="651"/>
      <c r="AD52" s="65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8" t="s">
        <v>19</v>
      </c>
      <c r="X53" s="649"/>
      <c r="Y53" s="651" t="s">
        <v>1630</v>
      </c>
      <c r="Z53" s="651"/>
      <c r="AA53" s="651"/>
      <c r="AB53" s="651"/>
      <c r="AC53" s="651"/>
      <c r="AD53" s="65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8" t="s">
        <v>20</v>
      </c>
      <c r="X54" s="649"/>
      <c r="Y54" s="650" t="s">
        <v>1631</v>
      </c>
      <c r="Z54" s="650"/>
      <c r="AA54" s="650"/>
      <c r="AB54" s="651"/>
      <c r="AC54" s="651"/>
      <c r="AD54" s="65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3" t="s">
        <v>21</v>
      </c>
      <c r="X55" s="654"/>
      <c r="Y55" s="650" t="s">
        <v>1632</v>
      </c>
      <c r="Z55" s="650"/>
      <c r="AA55" s="650"/>
      <c r="AB55" s="650"/>
      <c r="AC55" s="650"/>
      <c r="AD55" s="655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X43" sqref="X4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8" t="s">
        <v>1528</v>
      </c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10"/>
      <c r="AD4" s="217"/>
      <c r="AE4" s="216"/>
      <c r="AF4" s="216"/>
    </row>
    <row r="5" spans="2:32" ht="13.5" customHeight="1">
      <c r="B5" s="215"/>
      <c r="C5" s="215"/>
      <c r="D5" s="711"/>
      <c r="E5" s="712"/>
      <c r="F5" s="712"/>
      <c r="G5" s="712"/>
      <c r="H5" s="712"/>
      <c r="I5" s="712"/>
      <c r="J5" s="712"/>
      <c r="K5" s="712"/>
      <c r="L5" s="712"/>
      <c r="M5" s="712"/>
      <c r="N5" s="712"/>
      <c r="O5" s="712"/>
      <c r="P5" s="712"/>
      <c r="Q5" s="712"/>
      <c r="R5" s="712"/>
      <c r="S5" s="712"/>
      <c r="T5" s="712"/>
      <c r="U5" s="712"/>
      <c r="V5" s="712"/>
      <c r="W5" s="712"/>
      <c r="X5" s="712"/>
      <c r="Y5" s="712"/>
      <c r="Z5" s="712"/>
      <c r="AA5" s="712"/>
      <c r="AB5" s="712"/>
      <c r="AC5" s="713"/>
      <c r="AD5" s="217"/>
      <c r="AE5" s="216"/>
      <c r="AF5" s="216"/>
    </row>
    <row r="6" spans="2:32" ht="12.75" customHeight="1">
      <c r="B6" s="215"/>
      <c r="C6" s="215"/>
      <c r="D6" s="711"/>
      <c r="E6" s="712"/>
      <c r="F6" s="712"/>
      <c r="G6" s="712"/>
      <c r="H6" s="712"/>
      <c r="I6" s="712"/>
      <c r="J6" s="712"/>
      <c r="K6" s="712"/>
      <c r="L6" s="712"/>
      <c r="M6" s="712"/>
      <c r="N6" s="712"/>
      <c r="O6" s="712"/>
      <c r="P6" s="712"/>
      <c r="Q6" s="712"/>
      <c r="R6" s="712"/>
      <c r="S6" s="712"/>
      <c r="T6" s="712"/>
      <c r="U6" s="712"/>
      <c r="V6" s="712"/>
      <c r="W6" s="712"/>
      <c r="X6" s="712"/>
      <c r="Y6" s="712"/>
      <c r="Z6" s="712"/>
      <c r="AA6" s="712"/>
      <c r="AB6" s="712"/>
      <c r="AC6" s="713"/>
      <c r="AE6" s="216"/>
      <c r="AF6" s="216"/>
    </row>
    <row r="7" spans="2:32" ht="12.75" customHeight="1" thickBot="1">
      <c r="B7" s="215"/>
      <c r="C7" s="215"/>
      <c r="D7" s="714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G19" sqref="G19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2" t="s">
        <v>1527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7" t="str">
        <f>GAMBAR!E7</f>
        <v>KOORDINAT :-6.893321, 110.694995</v>
      </c>
      <c r="D6" s="717"/>
      <c r="E6" s="717"/>
      <c r="F6" s="717"/>
      <c r="G6" s="717"/>
      <c r="H6" s="717"/>
      <c r="I6" s="717"/>
      <c r="J6" s="717"/>
      <c r="K6" s="717"/>
      <c r="L6" s="717"/>
      <c r="M6" s="717"/>
      <c r="W6" s="182"/>
      <c r="Y6" s="426"/>
      <c r="Z6" s="426"/>
      <c r="AA6" s="426"/>
      <c r="AB6" s="427"/>
      <c r="AC6" s="427"/>
    </row>
    <row r="7" spans="1:29" ht="18" customHeight="1">
      <c r="A7" s="181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2024-01-31T09:44:54Z</dcterms:modified>
</cp:coreProperties>
</file>