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GEDUNG PARIPURNA DPRD\"/>
    </mc:Choice>
  </mc:AlternateContent>
  <xr:revisionPtr revIDLastSave="0" documentId="8_{58526799-28FF-4DBF-87FA-2854EC8DCC4B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85" i="11" l="1"/>
  <c r="F84" i="11"/>
  <c r="F83" i="11"/>
  <c r="F82" i="11"/>
  <c r="F81" i="11"/>
  <c r="F80" i="11"/>
  <c r="F79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8" i="11"/>
  <c r="F75" i="11"/>
  <c r="F73" i="11"/>
  <c r="F72" i="11"/>
  <c r="F71" i="11"/>
  <c r="G76" i="11"/>
  <c r="G78" i="11"/>
  <c r="G79" i="11"/>
  <c r="G80" i="11"/>
  <c r="G81" i="11"/>
  <c r="D76" i="11"/>
  <c r="H76" i="11" s="1"/>
  <c r="E76" i="11"/>
  <c r="D78" i="11"/>
  <c r="J78" i="11" s="1"/>
  <c r="E78" i="11"/>
  <c r="D79" i="11"/>
  <c r="H79" i="11" s="1"/>
  <c r="E79" i="11"/>
  <c r="D69" i="11"/>
  <c r="J69" i="11" s="1"/>
  <c r="E69" i="11"/>
  <c r="G69" i="11"/>
  <c r="J76" i="11" l="1"/>
  <c r="I78" i="11"/>
  <c r="H78" i="11"/>
  <c r="I76" i="11"/>
  <c r="J79" i="11"/>
  <c r="I69" i="11"/>
  <c r="H69" i="11"/>
  <c r="K69" i="11" s="1"/>
  <c r="K76" i="11" l="1"/>
  <c r="K78" i="11"/>
  <c r="D46" i="11" l="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E49" i="11"/>
  <c r="G49" i="11"/>
  <c r="D50" i="11"/>
  <c r="E50" i="11"/>
  <c r="G50" i="11"/>
  <c r="J51" i="11"/>
  <c r="E51" i="11"/>
  <c r="G51" i="11"/>
  <c r="J52" i="11"/>
  <c r="E52" i="11"/>
  <c r="G52" i="11"/>
  <c r="E53" i="11"/>
  <c r="G53" i="11"/>
  <c r="I54" i="11"/>
  <c r="E54" i="11"/>
  <c r="G54" i="11"/>
  <c r="J54" i="11"/>
  <c r="J55" i="11"/>
  <c r="E55" i="11"/>
  <c r="G55" i="11"/>
  <c r="J56" i="11"/>
  <c r="E56" i="11"/>
  <c r="G56" i="11"/>
  <c r="H57" i="11"/>
  <c r="E57" i="11"/>
  <c r="G57" i="11"/>
  <c r="H58" i="11"/>
  <c r="E58" i="11"/>
  <c r="G58" i="11"/>
  <c r="J59" i="11"/>
  <c r="E59" i="11"/>
  <c r="G59" i="11"/>
  <c r="J60" i="11"/>
  <c r="E60" i="11"/>
  <c r="G60" i="11"/>
  <c r="H61" i="11"/>
  <c r="E61" i="11"/>
  <c r="G61" i="11"/>
  <c r="H62" i="11"/>
  <c r="E62" i="11"/>
  <c r="G62" i="11"/>
  <c r="J63" i="11"/>
  <c r="E63" i="11"/>
  <c r="G63" i="11"/>
  <c r="J64" i="11"/>
  <c r="E64" i="11"/>
  <c r="G64" i="11"/>
  <c r="H65" i="11"/>
  <c r="E65" i="11"/>
  <c r="G65" i="11"/>
  <c r="H66" i="11"/>
  <c r="J67" i="11"/>
  <c r="D68" i="11"/>
  <c r="J68" i="11" s="1"/>
  <c r="E68" i="11"/>
  <c r="G68" i="11"/>
  <c r="D80" i="11"/>
  <c r="E80" i="11"/>
  <c r="D81" i="11"/>
  <c r="E81" i="11"/>
  <c r="D82" i="11"/>
  <c r="J82" i="11" s="1"/>
  <c r="E82" i="11"/>
  <c r="G82" i="11"/>
  <c r="D83" i="11"/>
  <c r="J83" i="11" s="1"/>
  <c r="E83" i="11"/>
  <c r="G83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F38" i="11"/>
  <c r="F37" i="11"/>
  <c r="F36" i="11"/>
  <c r="F35" i="11"/>
  <c r="F34" i="11"/>
  <c r="H50" i="11" l="1"/>
  <c r="H80" i="11"/>
  <c r="J80" i="11"/>
  <c r="H81" i="11"/>
  <c r="J81" i="11"/>
  <c r="I62" i="11"/>
  <c r="I68" i="11"/>
  <c r="I56" i="11"/>
  <c r="J66" i="11"/>
  <c r="J50" i="11"/>
  <c r="H49" i="11"/>
  <c r="I52" i="11"/>
  <c r="I50" i="11"/>
  <c r="J46" i="11"/>
  <c r="I60" i="11"/>
  <c r="H54" i="11"/>
  <c r="K54" i="11" s="1"/>
  <c r="H68" i="11"/>
  <c r="I64" i="11"/>
  <c r="I58" i="11"/>
  <c r="I48" i="11"/>
  <c r="I46" i="11"/>
  <c r="H64" i="11"/>
  <c r="I63" i="11"/>
  <c r="J62" i="11"/>
  <c r="K62" i="11" s="1"/>
  <c r="H60" i="11"/>
  <c r="I59" i="11"/>
  <c r="J58" i="11"/>
  <c r="K58" i="11" s="1"/>
  <c r="H56" i="11"/>
  <c r="K56" i="11" s="1"/>
  <c r="I55" i="11"/>
  <c r="H52" i="11"/>
  <c r="I51" i="11"/>
  <c r="H48" i="11"/>
  <c r="K48" i="11" s="1"/>
  <c r="I47" i="11"/>
  <c r="H53" i="11"/>
  <c r="I66" i="11"/>
  <c r="I65" i="11"/>
  <c r="I61" i="11"/>
  <c r="I57" i="11"/>
  <c r="I53" i="11"/>
  <c r="I49" i="11"/>
  <c r="I67" i="11"/>
  <c r="H67" i="11"/>
  <c r="J65" i="11"/>
  <c r="H63" i="11"/>
  <c r="K63" i="11" s="1"/>
  <c r="J61" i="11"/>
  <c r="K61" i="11" s="1"/>
  <c r="H59" i="11"/>
  <c r="J57" i="11"/>
  <c r="K57" i="11" s="1"/>
  <c r="H55" i="11"/>
  <c r="J53" i="11"/>
  <c r="H51" i="11"/>
  <c r="J49" i="11"/>
  <c r="H47" i="11"/>
  <c r="I80" i="11"/>
  <c r="I82" i="11"/>
  <c r="J88" i="11"/>
  <c r="I79" i="11"/>
  <c r="K79" i="11" s="1"/>
  <c r="I83" i="11"/>
  <c r="H82" i="11"/>
  <c r="I81" i="11"/>
  <c r="H85" i="11"/>
  <c r="J84" i="11"/>
  <c r="I85" i="11"/>
  <c r="I86" i="11"/>
  <c r="I88" i="11"/>
  <c r="H86" i="11"/>
  <c r="I87" i="11"/>
  <c r="H87" i="11"/>
  <c r="I84" i="11"/>
  <c r="H83" i="11"/>
  <c r="D33" i="11"/>
  <c r="H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E38" i="11"/>
  <c r="G38" i="11"/>
  <c r="D39" i="11"/>
  <c r="J39" i="11" s="1"/>
  <c r="E39" i="11"/>
  <c r="G39" i="11"/>
  <c r="F42" i="11"/>
  <c r="K51" i="11" l="1"/>
  <c r="K60" i="11"/>
  <c r="K68" i="11"/>
  <c r="K81" i="11"/>
  <c r="K80" i="11"/>
  <c r="K55" i="11"/>
  <c r="K66" i="11"/>
  <c r="K67" i="11"/>
  <c r="K47" i="11"/>
  <c r="K50" i="11"/>
  <c r="K46" i="11"/>
  <c r="K59" i="11"/>
  <c r="K52" i="11"/>
  <c r="K64" i="11"/>
  <c r="K88" i="11"/>
  <c r="K53" i="11"/>
  <c r="K49" i="11"/>
  <c r="K65" i="11"/>
  <c r="K86" i="11"/>
  <c r="K82" i="11"/>
  <c r="K87" i="11"/>
  <c r="K83" i="11"/>
  <c r="K84" i="11"/>
  <c r="K85" i="11"/>
  <c r="I36" i="11"/>
  <c r="J38" i="11"/>
  <c r="J36" i="11"/>
  <c r="J35" i="11"/>
  <c r="I37" i="11"/>
  <c r="I33" i="11"/>
  <c r="H39" i="11"/>
  <c r="H37" i="11"/>
  <c r="I35" i="11"/>
  <c r="I34" i="11"/>
  <c r="J33" i="11"/>
  <c r="I39" i="11"/>
  <c r="H38" i="11"/>
  <c r="H34" i="11"/>
  <c r="K34" i="11" s="1"/>
  <c r="I38" i="11"/>
  <c r="G70" i="11"/>
  <c r="G71" i="11"/>
  <c r="G72" i="11"/>
  <c r="G73" i="11"/>
  <c r="G74" i="11"/>
  <c r="G75" i="11"/>
  <c r="D70" i="11"/>
  <c r="H70" i="11" s="1"/>
  <c r="E70" i="11"/>
  <c r="J71" i="11"/>
  <c r="E71" i="11"/>
  <c r="D72" i="11"/>
  <c r="I72" i="11" s="1"/>
  <c r="E72" i="11"/>
  <c r="E73" i="11"/>
  <c r="D74" i="11"/>
  <c r="E74" i="11"/>
  <c r="D75" i="11"/>
  <c r="E75" i="11"/>
  <c r="H74" i="11" l="1"/>
  <c r="J75" i="11"/>
  <c r="K37" i="11"/>
  <c r="K33" i="11"/>
  <c r="K36" i="11"/>
  <c r="K35" i="11"/>
  <c r="K39" i="11"/>
  <c r="K38" i="11"/>
  <c r="H73" i="11"/>
  <c r="I71" i="11"/>
  <c r="I75" i="11"/>
  <c r="H72" i="11"/>
  <c r="J70" i="11"/>
  <c r="J74" i="11"/>
  <c r="H75" i="11"/>
  <c r="I74" i="11"/>
  <c r="J73" i="11"/>
  <c r="H71" i="11"/>
  <c r="I70" i="11"/>
  <c r="I73" i="11"/>
  <c r="J72" i="11"/>
  <c r="K73" i="11" l="1"/>
  <c r="K72" i="11"/>
  <c r="K71" i="11"/>
  <c r="K70" i="11"/>
  <c r="K75" i="11"/>
  <c r="K74" i="11"/>
  <c r="D89" i="11" l="1"/>
  <c r="H89" i="11" s="1"/>
  <c r="E89" i="11"/>
  <c r="G89" i="11"/>
  <c r="I89" i="11" l="1"/>
  <c r="J89" i="11"/>
  <c r="D44" i="11"/>
  <c r="H44" i="11" s="1"/>
  <c r="E44" i="11"/>
  <c r="G44" i="11"/>
  <c r="D45" i="11"/>
  <c r="H45" i="11" s="1"/>
  <c r="E45" i="11"/>
  <c r="G45" i="11"/>
  <c r="C6" i="62"/>
  <c r="D15" i="11"/>
  <c r="J15" i="11" s="1"/>
  <c r="E15" i="11"/>
  <c r="G15" i="11"/>
  <c r="D17" i="11"/>
  <c r="H17" i="11" s="1"/>
  <c r="E17" i="11"/>
  <c r="G17" i="11"/>
  <c r="F31" i="11"/>
  <c r="F30" i="11"/>
  <c r="F29" i="11"/>
  <c r="F28" i="11"/>
  <c r="F27" i="11"/>
  <c r="F24" i="11"/>
  <c r="F23" i="11"/>
  <c r="F22" i="11"/>
  <c r="F21" i="11"/>
  <c r="F20" i="11"/>
  <c r="D18" i="11"/>
  <c r="J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E31" i="11"/>
  <c r="G31" i="11"/>
  <c r="D32" i="11"/>
  <c r="H32" i="11" s="1"/>
  <c r="E32" i="11"/>
  <c r="G32" i="11"/>
  <c r="D40" i="11"/>
  <c r="H40" i="11" s="1"/>
  <c r="E40" i="11"/>
  <c r="G40" i="11"/>
  <c r="D41" i="11"/>
  <c r="J41" i="11" s="1"/>
  <c r="E41" i="11"/>
  <c r="G41" i="11"/>
  <c r="I42" i="11"/>
  <c r="D43" i="11"/>
  <c r="J43" i="11" s="1"/>
  <c r="E43" i="11"/>
  <c r="G43" i="11"/>
  <c r="K89" i="11" l="1"/>
  <c r="J44" i="11"/>
  <c r="I44" i="11"/>
  <c r="I45" i="11"/>
  <c r="J45" i="11"/>
  <c r="I15" i="11"/>
  <c r="H15" i="11"/>
  <c r="J17" i="11"/>
  <c r="I17" i="11"/>
  <c r="I22" i="11"/>
  <c r="J24" i="11"/>
  <c r="I18" i="11"/>
  <c r="J40" i="11"/>
  <c r="J32" i="11"/>
  <c r="I26" i="11"/>
  <c r="J25" i="11"/>
  <c r="J28" i="11"/>
  <c r="J21" i="11"/>
  <c r="J20" i="11"/>
  <c r="H18" i="11"/>
  <c r="I30" i="11"/>
  <c r="H22" i="11"/>
  <c r="H26" i="11"/>
  <c r="I41" i="11"/>
  <c r="H41" i="11"/>
  <c r="J29" i="11"/>
  <c r="I40" i="11"/>
  <c r="J31" i="11"/>
  <c r="I29" i="11"/>
  <c r="I25" i="11"/>
  <c r="I21" i="11"/>
  <c r="H30" i="11"/>
  <c r="I32" i="11"/>
  <c r="I31" i="11"/>
  <c r="I28" i="11"/>
  <c r="I27" i="11"/>
  <c r="I24" i="11"/>
  <c r="I23" i="11"/>
  <c r="I20" i="11"/>
  <c r="I19" i="11"/>
  <c r="I43" i="11"/>
  <c r="H42" i="11"/>
  <c r="H31" i="11"/>
  <c r="H27" i="11"/>
  <c r="H23" i="11"/>
  <c r="H19" i="11"/>
  <c r="J42" i="11"/>
  <c r="H43" i="11"/>
  <c r="D16" i="60"/>
  <c r="K44" i="11" l="1"/>
  <c r="K45" i="11"/>
  <c r="K15" i="11"/>
  <c r="K24" i="11"/>
  <c r="K17" i="11"/>
  <c r="K29" i="11"/>
  <c r="K40" i="11"/>
  <c r="K22" i="11"/>
  <c r="K32" i="11"/>
  <c r="K18" i="11"/>
  <c r="K28" i="11"/>
  <c r="K23" i="11"/>
  <c r="K26" i="11"/>
  <c r="K20" i="11"/>
  <c r="K25" i="11"/>
  <c r="K41" i="11"/>
  <c r="K31" i="11"/>
  <c r="K21" i="11"/>
  <c r="K19" i="11"/>
  <c r="K30" i="11"/>
  <c r="K43" i="11"/>
  <c r="K27" i="11"/>
  <c r="K42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9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0" i="11"/>
  <c r="D91" i="11"/>
  <c r="H91" i="11" s="1"/>
  <c r="E9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1" i="11"/>
  <c r="I9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9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93" i="11"/>
  <c r="H94" i="11" s="1"/>
  <c r="I93" i="11"/>
  <c r="I9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20" i="29" l="1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5" i="11"/>
  <c r="I95" i="11"/>
  <c r="F364" i="29"/>
  <c r="F69" i="39"/>
  <c r="F72" i="39"/>
  <c r="F367" i="29"/>
  <c r="J90" i="11"/>
  <c r="K90" i="11" s="1"/>
  <c r="K93" i="11" s="1"/>
  <c r="K9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3" i="11"/>
  <c r="J94" i="11" s="1"/>
  <c r="K95" i="11"/>
  <c r="B9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10" i="41" l="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<sst xmlns="http://schemas.openxmlformats.org/spreadsheetml/2006/main" count="4777" uniqueCount="1640">
  <si>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</si>
  <si>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</si>
  <si>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</si>
  <si>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</si>
  <si>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</si>
  <si>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</si>
  <si>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</si>
  <si>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</si>
  <si>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</si>
  <si>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</si>
  <si>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</si>
  <si>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</si>
  <si>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</si>
  <si>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</si>
  <si>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</si>
  <si>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</si>
  <si>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</si>
  <si>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</si>
  <si>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</si>
  <si>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</si>
  <si>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</si>
  <si>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</si>
  <si>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</si>
  <si>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</si>
  <si>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</si>
  <si>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</si>
  <si>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</si>
  <si>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</si>
  <si>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</si>
  <si>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</si>
  <si>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</si>
  <si>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</si>
  <si>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</si>
  <si>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</si>
  <si>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</si>
  <si>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</si>
  <si>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</si>
  <si>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</si>
  <si>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</si>
  <si>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</si>
  <si>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</si>
  <si>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</si>
  <si>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</si>
  <si>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</si>
  <si>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</si>
  <si>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</si>
  <si>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</si>
  <si>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</si>
  <si>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</si>
  <si>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</si>
  <si>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</si>
  <si>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</si>
  <si>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</si>
  <si>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</si>
  <si>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</si>
  <si>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</si>
  <si>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</si>
  <si>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</si>
  <si>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</si>
  <si>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</si>
  <si>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</si>
  <si>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</si>
  <si>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</si>
  <si>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</si>
  <si>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</si>
  <si>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</si>
  <si>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</si>
  <si>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</si>
  <si>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</si>
  <si>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</si>
  <si>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</si>
  <si>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</si>
  <si>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</si>
  <si>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</si>
  <si>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</si>
  <si>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</si>
  <si>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</si>
  <si>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</si>
  <si>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</si>
  <si>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</si>
  <si>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</si>
  <si>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</si>
  <si>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</si>
  <si>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</si>
  <si>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</si>
  <si>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</si>
  <si>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</si>
  <si>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</si>
  <si>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</si>
  <si>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</si>
  <si>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</si>
  <si>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</si>
  <si>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</si>
  <si>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</si>
  <si>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</si>
  <si>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</si>
  <si>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</si>
  <si>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</si>
  <si>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</si>
  <si>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</si>
  <si>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</si>
  <si>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</si>
  <si>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</si>
  <si>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</si>
  <si>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</si>
  <si>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</si>
  <si>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</si>
  <si>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</si>
  <si>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</si>
  <si>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</si>
  <si>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</si>
  <si>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</si>
  <si>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</si>
  <si>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</si>
  <si>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</si>
  <si>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</si>
  <si>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</si>
  <si>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</si>
  <si>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</si>
  <si>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</si>
  <si>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</si>
  <si>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</si>
  <si>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</si>
  <si>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</si>
  <si>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</si>
  <si>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</si>
  <si>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</si>
  <si>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</si>
  <si>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</si>
  <si>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</si>
  <si>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</si>
  <si>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</si>
  <si>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</si>
  <si>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</si>
  <si>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</si>
  <si>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</si>
  <si>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</si>
  <si>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</si>
  <si>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</si>
  <si>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</si>
  <si>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</si>
  <si>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</si>
  <si>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</si>
  <si>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</si>
  <si>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</si>
  <si>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</si>
  <si>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</si>
  <si>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</si>
  <si>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</si>
  <si>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</si>
  <si>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</si>
  <si>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</si>
  <si>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</si>
  <si>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</si>
  <si>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</si>
  <si>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</si>
  <si>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</si>
  <si>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</si>
  <si>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</si>
  <si>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</si>
  <si>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</si>
  <si>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</si>
  <si>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</si>
  <si>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</si>
  <si>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</si>
  <si>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</si>
  <si>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</si>
  <si>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</si>
  <si>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</si>
  <si>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</si>
  <si>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</si>
  <si>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</si>
  <si>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</si>
  <si>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</si>
  <si>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</si>
  <si>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</si>
  <si>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</si>
  <si>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</si>
  <si>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</si>
  <si>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</si>
  <si>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</si>
  <si>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</si>
  <si>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</si>
  <si>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</si>
  <si>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</si>
  <si>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</si>
  <si>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</si>
  <si>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</si>
  <si>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</si>
  <si>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</si>
  <si>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</si>
  <si>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</si>
  <si>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</si>
  <si>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</si>
  <si>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</si>
  <si>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</si>
  <si>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</si>
  <si>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</si>
  <si>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</si>
  <si>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</si>
  <si>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</si>
  <si>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</si>
  <si>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</si>
  <si>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</si>
  <si>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</si>
  <si>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</si>
  <si>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</si>
  <si>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</si>
  <si>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</si>
  <si>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</si>
  <si>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</si>
  <si>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</si>
  <si>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</si>
  <si>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</si>
  <si>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</si>
  <si>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</si>
  <si>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</si>
  <si>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</si>
  <si>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</si>
  <si>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</si>
  <si>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</si>
  <si>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</si>
  <si>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</si>
  <si>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</si>
  <si>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</si>
  <si>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</si>
  <si>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</si>
  <si>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</si>
  <si>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</si>
  <si>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</si>
  <si>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</si>
  <si>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</si>
  <si>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</si>
  <si>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</si>
  <si>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</si>
  <si>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</si>
  <si>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</si>
  <si>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</si>
  <si>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</si>
  <si>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</si>
  <si>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</si>
  <si>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</si>
  <si>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</si>
  <si>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</si>
  <si>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</si>
  <si>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</si>
  <si>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</si>
  <si>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</si>
  <si>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</si>
  <si>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</si>
  <si>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</si>
  <si>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</si>
  <si>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</si>
  <si>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</si>
  <si>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</si>
  <si>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</si>
  <si>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</si>
  <si>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</si>
  <si>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</si>
  <si>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</si>
  <si>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</si>
  <si>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</si>
  <si>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</si>
  <si>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</si>
  <si>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</si>
  <si>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</si>
  <si>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</si>
  <si>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</si>
  <si>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</si>
  <si>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</si>
  <si>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</si>
  <si>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</si>
  <si>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</si>
  <si>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</si>
  <si>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</si>
  <si>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</si>
  <si>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</si>
  <si>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</si>
  <si>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</si>
  <si>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</si>
  <si>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</si>
  <si>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</si>
  <si>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</si>
  <si>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</si>
  <si>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</si>
  <si>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</si>
  <si>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</si>
  <si>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</si>
  <si>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</si>
  <si>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</si>
  <si>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</si>
  <si>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</si>
  <si>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</si>
  <si>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</si>
  <si>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</si>
  <si>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</si>
  <si>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</si>
  <si>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</si>
  <si>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</si>
  <si>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</si>
  <si>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</si>
  <si>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</si>
  <si>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</si>
  <si>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</si>
  <si>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</si>
  <si>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</si>
  <si>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</si>
  <si>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</si>
  <si>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</si>
  <si>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</si>
  <si>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</si>
  <si>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</si>
  <si>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</si>
  <si>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</si>
  <si>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</si>
  <si>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</si>
  <si>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</si>
  <si>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</si>
  <si>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</si>
  <si>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</si>
  <si>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</si>
  <si>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</si>
  <si>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</si>
  <si>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</si>
  <si>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</si>
  <si>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</si>
  <si>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</si>
  <si>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</si>
  <si>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</si>
  <si>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</si>
  <si>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</si>
  <si>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</si>
  <si>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</si>
  <si>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</si>
  <si>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</si>
  <si>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</si>
  <si>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</si>
  <si>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</si>
  <si>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</si>
  <si>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</si>
  <si>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</si>
  <si>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</si>
  <si>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</si>
  <si>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</si>
  <si>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</si>
  <si>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</si>
  <si>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</si>
  <si>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</si>
  <si>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</si>
  <si>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</si>
  <si>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</si>
  <si>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</si>
  <si>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</si>
  <si>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</si>
  <si>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</si>
  <si>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</si>
  <si>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</si>
  <si>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</si>
  <si>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</si>
  <si>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</si>
  <si>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</si>
  <si>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</si>
  <si>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</si>
  <si>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</si>
  <si>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</si>
  <si>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</si>
  <si>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</si>
  <si>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</si>
  <si>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</si>
  <si>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</si>
  <si>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</si>
  <si>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</si>
  <si>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</si>
  <si>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</si>
  <si>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</si>
  <si>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</si>
  <si>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</si>
  <si>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</si>
  <si>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</si>
  <si>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</si>
  <si>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</si>
  <si>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</si>
  <si>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</si>
  <si>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</si>
  <si>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</si>
  <si>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</si>
  <si>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</si>
  <si>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</si>
  <si>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</si>
  <si>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</si>
  <si>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</si>
  <si>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</si>
  <si>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</si>
  <si>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</si>
  <si>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</si>
  <si>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</si>
  <si>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</si>
  <si>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</si>
  <si>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</si>
  <si>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</si>
  <si>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</si>
  <si>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</si>
  <si>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</si>
  <si>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</si>
  <si>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</si>
  <si>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</si>
  <si>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</si>
  <si>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</si>
  <si>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</si>
  <si>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</si>
  <si>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</si>
  <si>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</si>
  <si>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</si>
  <si>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</si>
  <si>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</si>
  <si>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</si>
  <si>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</si>
  <si>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</si>
  <si>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</si>
  <si>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</si>
  <si>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</si>
  <si>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</si>
  <si>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</si>
  <si>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</si>
  <si>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</si>
  <si>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</si>
  <si>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</si>
  <si>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</si>
  <si>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</si>
  <si>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</si>
  <si>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</si>
  <si>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</si>
  <si>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</si>
  <si>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</si>
  <si>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</si>
  <si>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</si>
  <si>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</si>
  <si>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</si>
  <si>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</si>
  <si>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</si>
  <si>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</si>
  <si>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</si>
  <si>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</si>
  <si>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</si>
  <si>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</si>
  <si>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</si>
  <si>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</si>
  <si>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</si>
  <si>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</si>
  <si>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</si>
  <si>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</si>
  <si>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</si>
  <si>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</si>
  <si>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</si>
  <si>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</si>
  <si>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</si>
  <si>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</si>
  <si>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</si>
  <si>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</si>
  <si>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</si>
  <si>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</si>
  <si>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</si>
  <si>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</si>
  <si>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</si>
  <si>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</si>
  <si>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</si>
  <si>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</si>
  <si>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</si>
  <si>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</si>
  <si>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</si>
  <si>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</si>
  <si>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</si>
  <si>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</si>
  <si>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</si>
  <si>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</si>
  <si>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</si>
  <si>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</si>
  <si>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</si>
  <si>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</si>
  <si>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</si>
  <si>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</si>
  <si>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</si>
  <si>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</si>
  <si>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</si>
  <si>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</si>
  <si>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</si>
  <si>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</si>
  <si>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</si>
  <si>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</si>
  <si>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</si>
  <si>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</si>
  <si>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</si>
  <si>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</si>
  <si>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</si>
  <si>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</si>
  <si>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</si>
  <si>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</si>
  <si>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</si>
  <si>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</si>
  <si>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</si>
  <si>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</si>
  <si>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</si>
  <si>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</si>
  <si>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</si>
  <si>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</si>
  <si>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</si>
  <si>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</si>
  <si>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</si>
  <si>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</si>
  <si>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</si>
  <si>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</si>
  <si>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</si>
  <si>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</si>
  <si>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</si>
  <si>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</si>
  <si>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</si>
  <si>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</si>
  <si>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</si>
  <si>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</si>
  <si>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</si>
  <si>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</si>
  <si>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</si>
  <si>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</si>
  <si>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</si>
  <si>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</si>
  <si>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</si>
  <si>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</si>
  <si>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</si>
  <si>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</si>
  <si>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</si>
  <si>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</si>
  <si>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</si>
  <si>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</si>
  <si>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</si>
  <si>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</si>
  <si>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</si>
  <si>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</si>
  <si>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</si>
  <si>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</si>
  <si>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</si>
  <si>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</si>
  <si>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</si>
  <si>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</si>
  <si>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</si>
  <si>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</si>
  <si>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</si>
  <si>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</si>
  <si>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</si>
  <si>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</si>
  <si>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</si>
  <si>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</si>
  <si>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</si>
  <si>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</si>
  <si>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</si>
  <si>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</si>
  <si>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</si>
  <si>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</si>
  <si>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</si>
  <si>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</si>
  <si>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</si>
  <si>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</si>
  <si>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</si>
  <si>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</si>
  <si>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</si>
  <si>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</si>
  <si>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</si>
  <si>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</si>
  <si>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</si>
  <si>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</si>
  <si>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</si>
  <si>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</si>
  <si>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</si>
  <si>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</si>
  <si>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</si>
  <si>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</si>
  <si>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</si>
  <si>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</si>
  <si>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</si>
  <si>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</si>
  <si>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</si>
  <si>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</si>
  <si>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</si>
  <si>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</si>
  <si>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</si>
  <si>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</si>
  <si>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</si>
  <si>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</si>
  <si>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</si>
  <si>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</si>
  <si>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</si>
  <si>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</si>
  <si>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</si>
  <si>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</si>
  <si>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</si>
  <si>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</si>
  <si>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</si>
  <si>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</si>
  <si>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</si>
  <si>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</si>
  <si>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</si>
  <si>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</si>
  <si>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</si>
  <si>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</si>
  <si>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</si>
  <si>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</si>
  <si>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</si>
  <si>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</si>
  <si>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</si>
  <si>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</si>
  <si>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</si>
  <si>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</si>
  <si>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</si>
  <si>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</si>
  <si>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</si>
  <si>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</si>
  <si>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</si>
  <si>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</si>
  <si>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</si>
  <si>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</si>
  <si>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</si>
  <si>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</si>
  <si>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</si>
  <si>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</si>
  <si>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</si>
  <si>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</si>
  <si>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</si>
  <si>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</si>
  <si>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</si>
  <si>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</si>
  <si>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</si>
  <si>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</si>
  <si>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</si>
  <si>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</si>
  <si>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</si>
  <si>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</si>
  <si>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</si>
  <si>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</si>
  <si>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</si>
  <si>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</si>
  <si>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</si>
  <si>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</si>
  <si>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</si>
  <si>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</si>
  <si>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</si>
  <si>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</si>
  <si>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</si>
  <si>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</si>
  <si>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</si>
  <si>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</si>
  <si>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</si>
  <si>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</si>
  <si>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</si>
  <si>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</si>
  <si>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</si>
  <si>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</si>
  <si>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</si>
  <si>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</si>
  <si>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</si>
  <si>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</si>
  <si>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</si>
  <si>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</si>
  <si>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</si>
  <si>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</si>
  <si>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</si>
  <si>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</si>
  <si>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</si>
  <si>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</si>
  <si>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</si>
  <si>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</si>
  <si>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</si>
  <si>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</si>
  <si>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</si>
  <si>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</si>
  <si>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</si>
  <si>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</si>
  <si>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</si>
  <si>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</si>
  <si>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</si>
  <si>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</si>
  <si>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</si>
  <si>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</si>
  <si>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</si>
  <si>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</si>
  <si>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</si>
  <si>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</si>
  <si>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</si>
  <si>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</si>
  <si>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</si>
  <si>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</si>
  <si>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</si>
  <si>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</si>
  <si>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</si>
  <si>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</si>
  <si>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</si>
  <si>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</si>
  <si>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</si>
  <si>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</si>
  <si>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</si>
  <si>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</si>
  <si>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</si>
  <si>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</si>
  <si>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</si>
  <si>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</si>
  <si>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</si>
  <si>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</si>
  <si>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</si>
  <si>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</si>
  <si>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</si>
  <si>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</si>
  <si>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</si>
  <si>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</si>
  <si>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</si>
  <si>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</si>
  <si>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</si>
  <si>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</si>
  <si>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</si>
  <si>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</si>
  <si>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</si>
  <si>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</si>
  <si>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</si>
  <si>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</si>
  <si>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</si>
  <si>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</si>
  <si>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</si>
  <si>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</si>
  <si>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</si>
  <si>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</si>
  <si>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</si>
  <si>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</si>
  <si>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</si>
  <si>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</si>
  <si>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</si>
  <si>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</si>
  <si>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</si>
  <si>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</si>
  <si>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</si>
  <si>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</si>
  <si>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</si>
  <si>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</si>
  <si>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</si>
  <si>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</si>
  <si>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</si>
  <si>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</si>
  <si>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</si>
  <si>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</si>
  <si>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</si>
  <si>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</si>
  <si>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</si>
  <si>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</si>
  <si>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</si>
  <si>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</si>
  <si>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</si>
  <si>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</si>
  <si>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</si>
  <si>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</si>
  <si>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</si>
  <si>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</si>
  <si>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</si>
  <si>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</si>
  <si>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</si>
  <si>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</si>
  <si>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</si>
  <si>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</si>
  <si>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</si>
  <si>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</si>
  <si>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</si>
  <si>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</si>
  <si>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</si>
  <si>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</si>
  <si>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</si>
  <si>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</si>
  <si>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</si>
  <si>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</si>
  <si>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</si>
  <si>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</si>
  <si>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</si>
  <si>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</si>
  <si>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</si>
  <si>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</si>
  <si>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</si>
  <si>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</si>
  <si>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</si>
  <si>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</si>
  <si>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</si>
  <si>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</si>
  <si>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</si>
  <si>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</si>
  <si>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</si>
  <si>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</si>
  <si>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</si>
  <si>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</si>
  <si>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</si>
  <si>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</si>
  <si>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</si>
  <si>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</si>
  <si>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</si>
  <si>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</si>
  <si>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</si>
  <si>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</si>
  <si>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</si>
  <si>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</si>
  <si>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</si>
  <si>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</si>
  <si>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</si>
  <si>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</si>
  <si>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</si>
  <si>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</si>
  <si>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</si>
  <si>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</si>
  <si>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</si>
  <si>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</si>
  <si>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</si>
  <si>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</si>
  <si>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</si>
  <si>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</si>
  <si>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</si>
  <si>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</si>
  <si>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</si>
  <si>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</si>
  <si>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</si>
  <si>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</si>
  <si>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</si>
  <si>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</si>
  <si>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</si>
  <si>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</si>
  <si>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</si>
  <si>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</si>
  <si>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</si>
  <si>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</si>
  <si>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</si>
  <si>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</si>
  <si>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</si>
  <si>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</si>
  <si>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</si>
  <si>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</si>
  <si>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</si>
  <si>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</si>
  <si>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</si>
  <si>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</si>
  <si>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</si>
  <si>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</si>
  <si>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</si>
  <si>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</si>
  <si>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</si>
  <si>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</si>
  <si>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</si>
  <si>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</si>
  <si>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</si>
  <si>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</si>
  <si>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</si>
  <si>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</si>
  <si>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</si>
  <si>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</si>
  <si>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</si>
  <si>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</si>
  <si>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</si>
  <si>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</si>
  <si>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</si>
  <si>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</si>
  <si>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</si>
  <si>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</si>
  <si>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</si>
  <si>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</si>
  <si>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</si>
  <si>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</si>
  <si>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</si>
  <si>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</si>
  <si>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</si>
  <si>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</si>
  <si>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</si>
  <si>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</si>
  <si>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</si>
  <si>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</si>
  <si>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</si>
  <si>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</si>
  <si>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</si>
  <si>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</si>
  <si>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</si>
  <si>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</si>
  <si>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</si>
  <si>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</si>
  <si>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</si>
  <si>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</si>
  <si>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</si>
  <si>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</si>
  <si>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</si>
  <si>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</si>
  <si>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</si>
  <si>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</si>
  <si>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</si>
  <si>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</si>
  <si>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</si>
  <si>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</si>
  <si>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</si>
  <si>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</si>
  <si>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</si>
  <si>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</si>
  <si>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</si>
  <si>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</si>
  <si>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</si>
  <si>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</si>
  <si>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</si>
  <si>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</si>
  <si>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</si>
  <si>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</si>
  <si>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</si>
  <si>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</si>
  <si>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</si>
  <si>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</si>
  <si>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</si>
  <si>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</si>
  <si>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</si>
  <si>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</si>
  <si>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</si>
  <si>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</si>
  <si>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</si>
  <si>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</si>
  <si>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</si>
  <si>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</si>
  <si>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</si>
  <si>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</si>
  <si>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</si>
  <si>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</si>
  <si>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</si>
  <si>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</si>
  <si>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</si>
  <si>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</si>
  <si>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</si>
  <si>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</si>
  <si>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</si>
  <si>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</si>
  <si>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</si>
  <si>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</si>
  <si>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</si>
  <si>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</si>
  <si>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</si>
  <si>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</si>
  <si>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</si>
  <si>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</si>
  <si>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</si>
  <si>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</si>
  <si>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</si>
  <si>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</si>
  <si>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</si>
  <si>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</si>
  <si>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</si>
  <si>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</si>
  <si>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</si>
  <si>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</si>
  <si>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</si>
  <si>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</si>
  <si>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</si>
  <si>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</si>
  <si>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</si>
  <si>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</si>
  <si>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</si>
  <si>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</si>
  <si>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</si>
  <si>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</si>
  <si>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</si>
  <si>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</si>
  <si>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</si>
  <si>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</si>
  <si>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</si>
  <si>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</si>
  <si>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</si>
  <si>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</si>
  <si>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</si>
  <si>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</si>
  <si>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</si>
  <si>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</si>
  <si>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</si>
  <si>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</si>
  <si>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</si>
  <si>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</si>
  <si>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</si>
  <si>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</si>
  <si>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</si>
  <si>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</si>
  <si>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</si>
  <si>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</si>
  <si>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</si>
  <si>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</si>
  <si>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</si>
  <si>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</si>
  <si>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</si>
  <si>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</si>
  <si>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</si>
  <si>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</si>
  <si>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</si>
  <si>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</si>
  <si>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</si>
  <si>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</si>
  <si>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</si>
  <si>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</si>
  <si>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</si>
  <si>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</si>
  <si>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</si>
  <si>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</si>
  <si>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</si>
  <si>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</si>
  <si>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</si>
  <si>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</si>
  <si>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</si>
  <si>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</si>
  <si>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</si>
  <si>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</si>
  <si>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</si>
  <si>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</si>
  <si>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</si>
  <si>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</si>
  <si>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</si>
  <si>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</si>
  <si>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</si>
  <si>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</si>
  <si>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</si>
  <si>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</si>
  <si>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</si>
  <si>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</si>
  <si>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</si>
  <si>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</si>
  <si>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</si>
  <si>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</si>
  <si>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</si>
  <si>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</si>
  <si>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</si>
  <si>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</si>
  <si>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</si>
  <si>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</si>
  <si>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</si>
  <si>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</si>
  <si>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</si>
  <si>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</si>
  <si>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</si>
  <si>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</si>
  <si>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</si>
  <si>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</si>
  <si>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</si>
  <si>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</si>
  <si>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</si>
  <si>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</si>
  <si>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</si>
  <si>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</si>
  <si>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</si>
  <si>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</si>
  <si>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</si>
  <si>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</si>
  <si>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</si>
  <si>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</si>
  <si>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</si>
  <si>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</si>
  <si>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</si>
  <si>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</si>
  <si>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</si>
  <si>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</si>
  <si>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</si>
  <si>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</si>
  <si>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</si>
  <si>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</si>
  <si>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</si>
  <si>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</si>
  <si>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</si>
  <si>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</si>
  <si>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</si>
  <si>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</si>
  <si>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</si>
  <si>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</si>
  <si>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</si>
  <si>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</si>
  <si>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</si>
  <si>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</si>
  <si>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</si>
  <si>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</si>
  <si>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</si>
  <si>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</si>
  <si>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</si>
  <si>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</si>
  <si>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</si>
  <si>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</si>
  <si>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</si>
  <si>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</si>
  <si>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</si>
  <si>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</si>
  <si>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</si>
  <si>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</si>
  <si>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</si>
  <si>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</si>
  <si>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</si>
  <si>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</si>
  <si>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</si>
  <si>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</si>
  <si>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</si>
  <si>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</si>
  <si>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</si>
  <si>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</si>
  <si>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</si>
  <si>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</si>
  <si>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</si>
  <si>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</si>
  <si>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</si>
  <si>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</si>
  <si>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</si>
  <si>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</si>
  <si>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</si>
  <si>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</si>
  <si>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</si>
  <si>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</si>
  <si>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</si>
  <si>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</si>
  <si>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</si>
  <si>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</si>
  <si>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</si>
  <si>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</si>
  <si>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</si>
  <si>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</si>
  <si>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</si>
  <si>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</si>
  <si>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</si>
  <si>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</si>
  <si>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</si>
  <si>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</si>
  <si>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</si>
  <si>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</si>
  <si>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</si>
  <si>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</si>
  <si>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</si>
  <si>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</si>
  <si>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</si>
  <si>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</si>
  <si>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</si>
  <si>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</si>
  <si>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</si>
  <si>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</si>
  <si>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</si>
  <si>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</si>
  <si>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</si>
  <si>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</si>
  <si>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</si>
  <si>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</si>
  <si>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</si>
  <si>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</si>
  <si>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</si>
  <si>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</si>
  <si>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</si>
  <si>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</si>
  <si>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</si>
  <si>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</si>
  <si>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</si>
  <si>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</si>
  <si>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</si>
  <si>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</si>
  <si>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</si>
  <si>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</si>
  <si>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</si>
  <si>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</si>
  <si>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</si>
  <si>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</si>
  <si>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</si>
  <si>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</si>
  <si>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</si>
  <si>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</si>
  <si>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</si>
  <si>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</si>
  <si>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</si>
  <si>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</si>
  <si>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</si>
  <si>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</si>
  <si>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</si>
  <si>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</si>
  <si>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</si>
  <si>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</si>
  <si>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</si>
  <si>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</si>
  <si>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</si>
  <si>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</si>
  <si>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</si>
  <si>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</si>
  <si>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</si>
  <si>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</si>
  <si>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</si>
  <si>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</si>
  <si>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</si>
  <si>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</si>
  <si>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</si>
  <si>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</si>
  <si>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</si>
  <si>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</si>
  <si>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</si>
  <si>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</si>
  <si>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</si>
  <si>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</si>
  <si>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</si>
  <si>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</si>
  <si>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</si>
  <si>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</si>
  <si>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</si>
  <si>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</si>
  <si>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</si>
  <si>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</si>
  <si>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</si>
  <si>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</si>
  <si>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</si>
  <si>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</si>
  <si>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</si>
  <si>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</si>
  <si>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</si>
  <si>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</si>
  <si>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</si>
  <si>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</si>
  <si>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</si>
  <si>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</si>
  <si>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</si>
  <si>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</si>
  <si>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</si>
  <si>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</si>
  <si>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</si>
  <si>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</si>
  <si>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</si>
  <si>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</si>
  <si>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</si>
  <si>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</si>
  <si>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</si>
  <si>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</si>
  <si>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</si>
  <si>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</si>
  <si>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</si>
  <si>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</si>
  <si>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</si>
  <si>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</si>
  <si>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</si>
  <si>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</si>
  <si>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</si>
  <si>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</si>
  <si>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</si>
  <si>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</si>
  <si>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</si>
  <si>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</si>
  <si>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</si>
  <si>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</si>
  <si>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</si>
  <si>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</si>
  <si>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</si>
  <si>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</si>
  <si>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</si>
  <si>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</si>
  <si>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</si>
  <si>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</si>
  <si>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</si>
  <si>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</si>
  <si>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</si>
  <si>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</si>
  <si>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</si>
  <si>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</si>
  <si>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</si>
  <si>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</si>
  <si>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</si>
  <si>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</si>
  <si>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</si>
  <si>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</si>
  <si>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</si>
  <si>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</si>
  <si>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</si>
  <si>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</si>
  <si>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</si>
  <si>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</si>
  <si>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</si>
  <si>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</si>
  <si>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</si>
  <si>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</si>
  <si>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</si>
  <si>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</si>
  <si>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</si>
  <si>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</si>
  <si>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</si>
  <si>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</si>
  <si>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</si>
  <si>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</si>
  <si>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</si>
  <si>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</si>
  <si>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</si>
  <si>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</si>
  <si>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</si>
  <si>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</si>
  <si>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</si>
  <si>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</si>
  <si>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</si>
  <si>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</si>
  <si>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</si>
  <si>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</si>
  <si>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</si>
  <si>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</si>
  <si>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</si>
  <si>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</si>
  <si>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</si>
  <si>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</si>
  <si>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</si>
  <si>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</si>
  <si>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</si>
  <si>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</si>
  <si>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</si>
  <si>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</si>
  <si>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</si>
  <si>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</si>
  <si>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</si>
  <si>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</si>
  <si>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</si>
  <si>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</si>
  <si>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</si>
  <si>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</si>
  <si>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</si>
  <si>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</si>
  <si>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</si>
  <si>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</si>
  <si>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</si>
  <si>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</si>
  <si>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</si>
  <si>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</si>
  <si>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</si>
  <si>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</si>
  <si>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</si>
  <si>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</si>
  <si>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</si>
  <si>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</si>
  <si>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</si>
  <si>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</si>
  <si>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</si>
  <si>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</si>
  <si>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</si>
  <si>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</si>
  <si>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</si>
  <si>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</si>
  <si>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</si>
  <si>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</si>
  <si>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</si>
  <si>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</si>
  <si>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</si>
  <si>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</si>
  <si>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</si>
  <si>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</si>
  <si>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</si>
  <si>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</si>
  <si>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</si>
  <si>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</si>
  <si>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</si>
  <si>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</si>
  <si>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</si>
  <si>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</si>
  <si>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</si>
  <si>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</si>
  <si>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</si>
  <si>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</si>
  <si>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</si>
  <si>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</si>
  <si>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</si>
  <si>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</si>
  <si>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</si>
  <si>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</si>
  <si>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</si>
  <si>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</si>
  <si>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</si>
  <si>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</si>
  <si>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</si>
  <si>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</si>
  <si>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</si>
  <si>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</si>
  <si>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</si>
  <si>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</si>
  <si>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</si>
  <si>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</si>
  <si>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</si>
  <si>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</si>
  <si>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</si>
  <si>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</si>
  <si>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</si>
  <si>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</si>
  <si>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</si>
  <si>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</si>
  <si>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</si>
  <si>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</si>
  <si>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</si>
  <si>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</si>
  <si>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</si>
  <si>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</si>
  <si>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</si>
  <si>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</si>
  <si>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</si>
  <si>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</si>
  <si>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</si>
  <si>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</si>
  <si>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</si>
  <si>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</si>
  <si>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</si>
  <si>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</si>
  <si>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</si>
  <si>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</si>
  <si>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</si>
  <si>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</si>
  <si>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</si>
  <si>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</si>
  <si>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</si>
  <si>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</si>
  <si>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</si>
  <si>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</si>
  <si>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</si>
  <si>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</si>
  <si>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</si>
  <si>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</si>
  <si>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</si>
  <si>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</si>
  <si>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</si>
  <si>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</si>
  <si>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</si>
  <si>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</si>
  <si>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</si>
  <si>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</si>
  <si>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</si>
  <si>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</si>
  <si>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</si>
  <si>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</si>
  <si>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</si>
  <si>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</si>
  <si>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</si>
  <si>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</si>
  <si>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</si>
  <si>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</si>
  <si>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</si>
  <si>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</si>
  <si>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</si>
  <si>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</si>
  <si>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</si>
  <si>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</si>
  <si>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</si>
  <si>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</si>
  <si>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</si>
  <si>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</si>
  <si>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</si>
  <si>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</si>
  <si>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</si>
  <si>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</si>
  <si>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</si>
  <si>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</si>
  <si>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</si>
  <si>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</si>
  <si>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</si>
  <si>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</si>
  <si>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</si>
  <si>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</si>
  <si>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</si>
  <si>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</si>
  <si>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</si>
  <si>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</si>
  <si>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</si>
  <si>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</si>
  <si>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</si>
  <si>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</si>
  <si>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</si>
  <si>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</si>
  <si>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</si>
  <si>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</si>
  <si>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</si>
  <si>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</si>
  <si>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</si>
  <si>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</si>
  <si>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</si>
  <si>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</si>
  <si>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</si>
  <si>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</si>
  <si>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</si>
  <si>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</si>
  <si>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</si>
  <si>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</si>
  <si>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</si>
  <si>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</si>
  <si>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</si>
  <si>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</si>
  <si>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</si>
  <si>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</si>
  <si>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</si>
  <si>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</si>
  <si>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</si>
  <si>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</si>
  <si>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</si>
  <si>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</si>
  <si>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</si>
  <si>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</si>
  <si>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</si>
  <si>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</si>
  <si>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</si>
  <si>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</si>
  <si>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</si>
  <si>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</si>
  <si>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</si>
  <si>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</si>
  <si>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</si>
  <si>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</si>
  <si>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</si>
  <si>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</si>
  <si>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</si>
  <si>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</si>
  <si>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</si>
  <si>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</si>
  <si>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</si>
  <si>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</si>
  <si>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</si>
  <si>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</si>
  <si>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</si>
  <si>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</si>
  <si>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</si>
  <si>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</si>
  <si>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</si>
  <si>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</si>
  <si>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</si>
  <si>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</si>
  <si>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</si>
  <si>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</si>
  <si>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</si>
  <si>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</si>
  <si>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</si>
  <si>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</si>
  <si>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</si>
  <si>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</si>
  <si>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</si>
  <si>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</si>
  <si>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</si>
  <si>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</si>
  <si>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</si>
  <si>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</si>
  <si>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</si>
  <si>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</si>
  <si>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</si>
  <si>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</si>
  <si>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</si>
  <si>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</si>
  <si>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</si>
  <si>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</si>
  <si>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</si>
  <si>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</si>
  <si>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</si>
  <si>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</si>
  <si>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</si>
  <si>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</si>
  <si>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</si>
  <si>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</si>
  <si>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</si>
  <si>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</si>
  <si>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</si>
  <si>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</si>
  <si>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</si>
  <si>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</si>
  <si>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</si>
  <si>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</si>
  <si>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</si>
  <si>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</si>
  <si>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</si>
  <si>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</si>
  <si>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</si>
  <si>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</si>
  <si>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</si>
  <si>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</si>
  <si>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</si>
  <si>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</si>
  <si>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</si>
  <si>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</si>
  <si>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</si>
  <si>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</si>
  <si>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</si>
  <si>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</si>
  <si>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</si>
  <si>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</si>
  <si>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</si>
  <si>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</si>
  <si>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</si>
  <si>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</si>
  <si>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</si>
  <si>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</si>
  <si>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</si>
  <si>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</si>
  <si>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</si>
  <si>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</si>
  <si>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</si>
  <si>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</si>
  <si>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</si>
  <si>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</si>
  <si>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</si>
  <si>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</si>
  <si>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</si>
  <si>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</si>
  <si>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</si>
  <si>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</si>
  <si>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</si>
  <si>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</si>
  <si>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</si>
  <si>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</si>
  <si>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</si>
  <si>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</si>
  <si>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</si>
  <si>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</si>
  <si>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</si>
  <si>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</si>
  <si>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</si>
  <si>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</si>
  <si>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</si>
  <si>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</si>
  <si>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</si>
  <si>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</si>
  <si>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</si>
  <si>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</si>
  <si>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</si>
  <si>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</si>
  <si>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</si>
  <si>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</si>
  <si>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</si>
  <si>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</si>
  <si>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</si>
  <si>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</si>
  <si>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</si>
  <si>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SCHOOR</t>
  </si>
  <si>
    <t>PLN</t>
  </si>
  <si>
    <t>MJ6-T</t>
  </si>
  <si>
    <t>UPGRADING TRAFO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</si>
  <si>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</si>
  <si>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</si>
  <si>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</si>
  <si>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</si>
  <si>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</si>
  <si>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</si>
  <si>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GEDUNG PARIPURNA DPRD DEMAK</t>
  </si>
  <si>
    <t>P1</t>
  </si>
  <si>
    <t>Trafo 3 Fasa 100 KVA 1 Tiang (G312-A)</t>
  </si>
  <si>
    <t>Daya 66.000 VA</t>
  </si>
  <si>
    <t>JL SULTAN TRENGGONO KATONSARI</t>
  </si>
  <si>
    <t>Pemasangan APP 3 Fasa Di Bangunan</t>
  </si>
  <si>
    <t>KOORDINAT : -6.910241, 110.618104</t>
  </si>
  <si>
    <t>Demak, 19 Januari 2024</t>
  </si>
  <si>
    <t>MANAGER ULP</t>
  </si>
  <si>
    <t>ACHMAD SUHENDRO</t>
  </si>
  <si>
    <t>STAF TEKNIK</t>
  </si>
  <si>
    <t>TL TEKNIK</t>
  </si>
  <si>
    <t>MULP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</si>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</sst>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7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6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22" fillId="0" borderId="21" xfId="1451" applyBorder="1" applyAlignment="1">
      <alignment horizontal="left" wrapText="1"/>
    </xf>
    <xf numFmtId="0" fontId="22" fillId="0" borderId="21" xfId="145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1.3199999999999998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214394</xdr:colOff>
      <xdr:row>14</xdr:row>
      <xdr:rowOff>128531</xdr:rowOff>
    </xdr:from>
    <xdr:to>
      <xdr:col>11</xdr:col>
      <xdr:colOff>55699</xdr:colOff>
      <xdr:row>38</xdr:row>
      <xdr:rowOff>123768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 rot="5400000">
          <a:off x="1889200" y="3953377"/>
          <a:ext cx="3598172" cy="222305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11</xdr:col>
      <xdr:colOff>217720</xdr:colOff>
      <xdr:row>28</xdr:row>
      <xdr:rowOff>70816</xdr:rowOff>
    </xdr:from>
    <xdr:to>
      <xdr:col>11</xdr:col>
      <xdr:colOff>357917</xdr:colOff>
      <xdr:row>29</xdr:row>
      <xdr:rowOff>16478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 rot="21423530">
          <a:off x="3961459" y="4294946"/>
          <a:ext cx="140197" cy="94749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166481</xdr:colOff>
      <xdr:row>31</xdr:row>
      <xdr:rowOff>50327</xdr:rowOff>
    </xdr:from>
    <xdr:to>
      <xdr:col>11</xdr:col>
      <xdr:colOff>282650</xdr:colOff>
      <xdr:row>32</xdr:row>
      <xdr:rowOff>6511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3910220" y="4713436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147858</xdr:colOff>
      <xdr:row>29</xdr:row>
      <xdr:rowOff>119871</xdr:rowOff>
    </xdr:from>
    <xdr:to>
      <xdr:col>10</xdr:col>
      <xdr:colOff>366245</xdr:colOff>
      <xdr:row>34</xdr:row>
      <xdr:rowOff>107674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3129597" y="4493088"/>
          <a:ext cx="599387" cy="72495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none" baseline="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500" b="1" u="none" strike="sngStrike" baseline="0">
              <a:solidFill>
                <a:schemeClr val="tx1"/>
              </a:solidFill>
            </a:rPr>
            <a:t>1 TRF 50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TRF 100 KVA 1 CJ6-T</a:t>
          </a:r>
        </a:p>
      </xdr:txBody>
    </xdr:sp>
    <xdr:clientData/>
  </xdr:twoCellAnchor>
  <xdr:twoCellAnchor>
    <xdr:from>
      <xdr:col>11</xdr:col>
      <xdr:colOff>174975</xdr:colOff>
      <xdr:row>19</xdr:row>
      <xdr:rowOff>9464</xdr:rowOff>
    </xdr:from>
    <xdr:to>
      <xdr:col>11</xdr:col>
      <xdr:colOff>182217</xdr:colOff>
      <xdr:row>33</xdr:row>
      <xdr:rowOff>132521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 flipV="1">
          <a:off x="3918714" y="2891812"/>
          <a:ext cx="7242" cy="2201992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177677</xdr:colOff>
      <xdr:row>24</xdr:row>
      <xdr:rowOff>37653</xdr:rowOff>
    </xdr:from>
    <xdr:to>
      <xdr:col>11</xdr:col>
      <xdr:colOff>320653</xdr:colOff>
      <xdr:row>24</xdr:row>
      <xdr:rowOff>132402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 rot="267820">
          <a:off x="3921416" y="3665436"/>
          <a:ext cx="142976" cy="94749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151636</xdr:colOff>
      <xdr:row>21</xdr:row>
      <xdr:rowOff>77729</xdr:rowOff>
    </xdr:from>
    <xdr:to>
      <xdr:col>11</xdr:col>
      <xdr:colOff>267805</xdr:colOff>
      <xdr:row>22</xdr:row>
      <xdr:rowOff>33913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3895375" y="3258251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339904</xdr:colOff>
      <xdr:row>21</xdr:row>
      <xdr:rowOff>143990</xdr:rowOff>
    </xdr:from>
    <xdr:to>
      <xdr:col>16</xdr:col>
      <xdr:colOff>248478</xdr:colOff>
      <xdr:row>30</xdr:row>
      <xdr:rowOff>124239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4083643" y="3324512"/>
          <a:ext cx="1813574" cy="13137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GEDUNG</a:t>
          </a:r>
          <a:r>
            <a:rPr lang="en-US" sz="500" b="1" u="none" baseline="0">
              <a:solidFill>
                <a:schemeClr val="tx1"/>
              </a:solidFill>
            </a:rPr>
            <a:t> DPR</a:t>
          </a:r>
          <a:endParaRPr lang="en-US" sz="5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342453</xdr:colOff>
      <xdr:row>16</xdr:row>
      <xdr:rowOff>33130</xdr:rowOff>
    </xdr:from>
    <xdr:to>
      <xdr:col>16</xdr:col>
      <xdr:colOff>223631</xdr:colOff>
      <xdr:row>21</xdr:row>
      <xdr:rowOff>97499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4086192" y="2468217"/>
          <a:ext cx="1786178" cy="8098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SAMSAT</a:t>
          </a:r>
        </a:p>
      </xdr:txBody>
    </xdr:sp>
    <xdr:clientData/>
  </xdr:twoCellAnchor>
  <xdr:twoCellAnchor>
    <xdr:from>
      <xdr:col>10</xdr:col>
      <xdr:colOff>371125</xdr:colOff>
      <xdr:row>31</xdr:row>
      <xdr:rowOff>636</xdr:rowOff>
    </xdr:from>
    <xdr:to>
      <xdr:col>11</xdr:col>
      <xdr:colOff>136663</xdr:colOff>
      <xdr:row>32</xdr:row>
      <xdr:rowOff>15289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AF82ACD6-C946-4353-8C78-9C641407504A}"/>
            </a:ext>
          </a:extLst>
        </xdr:cNvPr>
        <xdr:cNvSpPr/>
      </xdr:nvSpPr>
      <xdr:spPr>
        <a:xfrm>
          <a:off x="3733864" y="4663745"/>
          <a:ext cx="146538" cy="16374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338950</xdr:colOff>
      <xdr:row>31</xdr:row>
      <xdr:rowOff>8921</xdr:rowOff>
    </xdr:from>
    <xdr:to>
      <xdr:col>12</xdr:col>
      <xdr:colOff>97161</xdr:colOff>
      <xdr:row>32</xdr:row>
      <xdr:rowOff>16247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4082689" y="4672030"/>
          <a:ext cx="139211" cy="15641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311553</xdr:colOff>
      <xdr:row>30</xdr:row>
      <xdr:rowOff>143353</xdr:rowOff>
    </xdr:from>
    <xdr:to>
      <xdr:col>12</xdr:col>
      <xdr:colOff>157687</xdr:colOff>
      <xdr:row>32</xdr:row>
      <xdr:rowOff>88050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AF58627-0EED-DEC1-8226-13D92C068E59}"/>
            </a:ext>
          </a:extLst>
        </xdr:cNvPr>
        <xdr:cNvGrpSpPr/>
      </xdr:nvGrpSpPr>
      <xdr:grpSpPr>
        <a:xfrm>
          <a:off x="4055292" y="4657375"/>
          <a:ext cx="227134" cy="242871"/>
          <a:chOff x="6784731" y="3692770"/>
          <a:chExt cx="227134" cy="247650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9C16AD71-4FC8-4ABB-9AD2-AF063FDA3C95}"/>
              </a:ext>
            </a:extLst>
          </xdr:cNvPr>
          <xdr:cNvCxnSpPr/>
        </xdr:nvCxnSpPr>
        <xdr:spPr>
          <a:xfrm>
            <a:off x="6784731" y="3714750"/>
            <a:ext cx="227134" cy="2051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90E3A329-9AB2-4D38-9CAE-F15797D6F06C}"/>
              </a:ext>
            </a:extLst>
          </xdr:cNvPr>
          <xdr:cNvCxnSpPr/>
        </xdr:nvCxnSpPr>
        <xdr:spPr>
          <a:xfrm flipV="1">
            <a:off x="6819900" y="3692770"/>
            <a:ext cx="155331" cy="24765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157369</xdr:colOff>
      <xdr:row>26</xdr:row>
      <xdr:rowOff>41413</xdr:rowOff>
    </xdr:from>
    <xdr:to>
      <xdr:col>11</xdr:col>
      <xdr:colOff>273538</xdr:colOff>
      <xdr:row>26</xdr:row>
      <xdr:rowOff>146684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C0A78863-4AC0-49B1-841F-7C3D7AD17213}"/>
            </a:ext>
          </a:extLst>
        </xdr:cNvPr>
        <xdr:cNvGrpSpPr>
          <a:grpSpLocks/>
        </xdr:cNvGrpSpPr>
      </xdr:nvGrpSpPr>
      <xdr:grpSpPr bwMode="auto">
        <a:xfrm>
          <a:off x="3901108" y="3967370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E9231EA9-5BB3-4E32-AC41-F6CA2EA7952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8B4B9837-8553-26C3-2B31-B6D4988B6A52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FBF62DF1-3125-8523-A5C2-C78374EFEB27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265637</xdr:colOff>
      <xdr:row>21</xdr:row>
      <xdr:rowOff>130365</xdr:rowOff>
    </xdr:from>
    <xdr:to>
      <xdr:col>11</xdr:col>
      <xdr:colOff>267805</xdr:colOff>
      <xdr:row>31</xdr:row>
      <xdr:rowOff>65744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645D703-F70D-4967-92F9-F8610D5B53CF}"/>
            </a:ext>
          </a:extLst>
        </xdr:cNvPr>
        <xdr:cNvCxnSpPr>
          <a:stCxn id="243" idx="7"/>
          <a:endCxn id="9" idx="6"/>
        </xdr:cNvCxnSpPr>
      </xdr:nvCxnSpPr>
      <xdr:spPr>
        <a:xfrm flipV="1">
          <a:off x="4009376" y="3310887"/>
          <a:ext cx="2168" cy="141796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</xdr:colOff>
      <xdr:row>32</xdr:row>
      <xdr:rowOff>49696</xdr:rowOff>
    </xdr:from>
    <xdr:to>
      <xdr:col>16</xdr:col>
      <xdr:colOff>278743</xdr:colOff>
      <xdr:row>37</xdr:row>
      <xdr:rowOff>97500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74475DF-9B63-4357-A0A5-02CA5ED71941}"/>
            </a:ext>
          </a:extLst>
        </xdr:cNvPr>
        <xdr:cNvSpPr txBox="1"/>
      </xdr:nvSpPr>
      <xdr:spPr>
        <a:xfrm>
          <a:off x="4141304" y="4861892"/>
          <a:ext cx="1786178" cy="8098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DISHUB</a:t>
          </a:r>
        </a:p>
      </xdr:txBody>
    </xdr:sp>
    <xdr:clientData/>
  </xdr:twoCellAnchor>
  <xdr:twoCellAnchor>
    <xdr:from>
      <xdr:col>9</xdr:col>
      <xdr:colOff>182217</xdr:colOff>
      <xdr:row>24</xdr:row>
      <xdr:rowOff>115956</xdr:rowOff>
    </xdr:from>
    <xdr:to>
      <xdr:col>10</xdr:col>
      <xdr:colOff>323022</xdr:colOff>
      <xdr:row>28</xdr:row>
      <xdr:rowOff>8283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C3A09BE-4B23-40BA-9530-FA42F4B7A88A}"/>
            </a:ext>
          </a:extLst>
        </xdr:cNvPr>
        <xdr:cNvSpPr txBox="1"/>
      </xdr:nvSpPr>
      <xdr:spPr>
        <a:xfrm>
          <a:off x="3163956" y="3743739"/>
          <a:ext cx="521805" cy="48867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none" baseline="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CG312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9</xdr:col>
      <xdr:colOff>240196</xdr:colOff>
      <xdr:row>20</xdr:row>
      <xdr:rowOff>99392</xdr:rowOff>
    </xdr:from>
    <xdr:to>
      <xdr:col>11</xdr:col>
      <xdr:colOff>1</xdr:colOff>
      <xdr:row>23</xdr:row>
      <xdr:rowOff>140805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2B91F08-6C49-4AFD-8390-1F31235C3A69}"/>
            </a:ext>
          </a:extLst>
        </xdr:cNvPr>
        <xdr:cNvSpPr txBox="1"/>
      </xdr:nvSpPr>
      <xdr:spPr>
        <a:xfrm>
          <a:off x="3221935" y="3130827"/>
          <a:ext cx="521805" cy="48867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none" baseline="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CG312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11</xdr:col>
      <xdr:colOff>250792</xdr:colOff>
      <xdr:row>22</xdr:row>
      <xdr:rowOff>18496</xdr:rowOff>
    </xdr:from>
    <xdr:to>
      <xdr:col>13</xdr:col>
      <xdr:colOff>248478</xdr:colOff>
      <xdr:row>22</xdr:row>
      <xdr:rowOff>41413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1A7391A9-4D4F-4165-B666-084B8183FB81}"/>
            </a:ext>
          </a:extLst>
        </xdr:cNvPr>
        <xdr:cNvCxnSpPr>
          <a:endCxn id="9" idx="5"/>
        </xdr:cNvCxnSpPr>
      </xdr:nvCxnSpPr>
      <xdr:spPr>
        <a:xfrm flipH="1" flipV="1">
          <a:off x="3994531" y="3348105"/>
          <a:ext cx="759686" cy="229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231913</xdr:colOff>
      <xdr:row>22</xdr:row>
      <xdr:rowOff>41412</xdr:rowOff>
    </xdr:from>
    <xdr:to>
      <xdr:col>13</xdr:col>
      <xdr:colOff>231913</xdr:colOff>
      <xdr:row>24</xdr:row>
      <xdr:rowOff>82825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DF3FEE9-EA6B-428B-8E0E-892931C02D1C}"/>
            </a:ext>
          </a:extLst>
        </xdr:cNvPr>
        <xdr:cNvCxnSpPr/>
      </xdr:nvCxnSpPr>
      <xdr:spPr>
        <a:xfrm flipV="1">
          <a:off x="4737652" y="3371021"/>
          <a:ext cx="0" cy="3395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149088</xdr:colOff>
      <xdr:row>24</xdr:row>
      <xdr:rowOff>33130</xdr:rowOff>
    </xdr:from>
    <xdr:to>
      <xdr:col>13</xdr:col>
      <xdr:colOff>281610</xdr:colOff>
      <xdr:row>24</xdr:row>
      <xdr:rowOff>124239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25032FE-225E-4EB4-B15D-DA558BBA629F}"/>
            </a:ext>
          </a:extLst>
        </xdr:cNvPr>
        <xdr:cNvSpPr txBox="1"/>
      </xdr:nvSpPr>
      <xdr:spPr>
        <a:xfrm>
          <a:off x="4654827" y="3660913"/>
          <a:ext cx="132522" cy="91109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1" u="none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329046</xdr:colOff>
      <xdr:row>9</xdr:row>
      <xdr:rowOff>103907</xdr:rowOff>
    </xdr:from>
    <xdr:to>
      <xdr:col>18</xdr:col>
      <xdr:colOff>294410</xdr:colOff>
      <xdr:row>47</xdr:row>
      <xdr:rowOff>138543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886B65-6F53-2BFA-2B7D-15D4A9EC1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9637" y="1662543"/>
          <a:ext cx="8451273" cy="59574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1134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1135</v>
      </c>
      <c r="G7" s="530" t="s">
        <v>41</v>
      </c>
      <c r="H7" s="526" t="s">
        <v>1042</v>
      </c>
      <c r="I7" s="526" t="s">
        <v>1137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SUMIFS(RAB!$F$14:$F$89,RAB!$C$14:$C$89,C714)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SUMIFS(RAB!$F$14:$F$89,RAB!$C$14:$C$89,C715)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SUMIFS(RAB!$F$14:$F$89,RAB!$C$14:$C$89,C716)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SUMIFS(RAB!$F$14:$F$89,RAB!$C$14:$C$89,C717)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SUMIFS(RAB!$F$14:$F$89,RAB!$C$14:$C$89,C718)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SUMIFS(RAB!$F$14:$F$89,RAB!$C$14:$C$89,C719)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SUMIFS(RAB!$F$14:$F$89,RAB!$C$14:$C$89,C720)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SUMIFS(RAB!$F$14:$F$89,RAB!$C$14:$C$89,C721)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SUMIFS(RAB!$F$14:$F$89,RAB!$C$14:$C$89,C722)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SUMIFS(RAB!$F$14:$F$89,RAB!$C$14:$C$89,C723)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SUMIFS(RAB!$F$14:$F$89,RAB!$C$14:$C$89,C724)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SUMIFS(RAB!$F$14:$F$89,RAB!$C$14:$C$89,C725)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SUMIFS(RAB!$F$14:$F$89,RAB!$C$14:$C$89,C726)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SUMIFS(RAB!$F$14:$F$89,RAB!$C$14:$C$89,C727)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SUMIFS(RAB!$F$14:$F$89,RAB!$C$14:$C$89,C728)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SUMIFS(RAB!$F$14:$F$89,RAB!$C$14:$C$89,C729)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SUMIFS(RAB!$F$14:$F$89,RAB!$C$14:$C$89,C730)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SUMIFS(RAB!$F$14:$F$89,RAB!$C$14:$C$89,C731)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SUMIFS(RAB!$F$14:$F$89,RAB!$C$14:$C$89,C732)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SUMIFS(RAB!$F$14:$F$89,RAB!$C$14:$C$89,C733)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SUMIFS(RAB!$F$14:$F$89,RAB!$C$14:$C$89,C734)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SUMIFS(RAB!$F$14:$F$89,RAB!$C$14:$C$89,C735)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SUMIFS(RAB!$F$14:$F$89,RAB!$C$14:$C$89,C736)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SUMIFS(RAB!$F$14:$F$89,RAB!$C$14:$C$89,C737)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SUMIFS(RAB!$F$14:$F$89,RAB!$C$14:$C$89,C738)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SUMIFS(RAB!$F$14:$F$89,RAB!$C$14:$C$89,C739)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SUMIFS(RAB!$F$14:$F$89,RAB!$C$14:$C$89,C740)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SUMIFS(RAB!$F$14:$F$89,RAB!$C$14:$C$89,C741)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SUMIFS(RAB!$F$14:$F$89,RAB!$C$14:$C$89,C742)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SUMIFS(RAB!$F$14:$F$89,RAB!$C$14:$C$89,C743)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SUMIFS(RAB!$F$14:$F$89,RAB!$C$14:$C$89,C744)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SUMIFS(RAB!$F$14:$F$89,RAB!$C$14:$C$89,C745)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SUMIFS(RAB!$F$14:$F$89,RAB!$C$14:$C$89,C746)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SUMIFS(RAB!$F$14:$F$89,RAB!$C$14:$C$89,C747)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SUMIFS(RAB!$F$14:$F$89,RAB!$C$14:$C$89,C748)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SUMIFS(RAB!$F$14:$F$89,RAB!$C$14:$C$89,C749)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SUMIFS(RAB!$F$14:$F$89,RAB!$C$14:$C$89,C750)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SUMIFS(RAB!$F$14:$F$89,RAB!$C$14:$C$89,C751)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SUMIFS(RAB!$F$14:$F$89,RAB!$C$14:$C$89,C752)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SUMIFS(RAB!$F$14:$F$89,RAB!$C$14:$C$89,C753)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SUMIFS(RAB!$F$14:$F$89,RAB!$C$14:$C$89,C754)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SUMIFS(RAB!$F$14:$F$89,RAB!$C$14:$C$89,C755)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SUMIFS(RAB!$F$14:$F$89,RAB!$C$14:$C$89,C756)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SUMIFS(RAB!$F$14:$F$89,RAB!$C$14:$C$89,C757)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SUMIFS(RAB!$F$14:$F$89,RAB!$C$14:$C$89,C758)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SUMIFS(RAB!$F$14:$F$89,RAB!$C$14:$C$89,C759)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SUMIFS(RAB!$F$14:$F$89,RAB!$C$14:$C$89,C760)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SUMIFS(RAB!$F$14:$F$89,RAB!$C$14:$C$89,C761)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SUMIFS(RAB!$F$14:$F$89,RAB!$C$14:$C$89,C762)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SUMIFS(RAB!$F$14:$F$89,RAB!$C$14:$C$89,C763)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SUMIFS(RAB!$F$14:$F$89,RAB!$C$14:$C$89,C764)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SUMIFS(RAB!$F$14:$F$89,RAB!$C$14:$C$89,C765)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SUMIFS(RAB!$F$14:$F$89,RAB!$C$14:$C$89,C766)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SUMIFS(RAB!$F$14:$F$89,RAB!$C$14:$C$89,C767)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SUMIFS(RAB!$F$14:$F$89,RAB!$C$14:$C$89,C768)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SUMIFS(RAB!$F$14:$F$89,RAB!$C$14:$C$89,C769)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SUMIFS(RAB!$F$14:$F$89,RAB!$C$14:$C$89,C770)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SUMIFS(RAB!$F$14:$F$89,RAB!$C$14:$C$89,C771)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SUMIFS(RAB!$F$14:$F$89,RAB!$C$14:$C$89,C772)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SUMIFS(RAB!$F$14:$F$89,RAB!$C$14:$C$89,C773)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SUMIFS(RAB!$F$14:$F$89,RAB!$C$14:$C$89,C774)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SUMIFS(RAB!$F$14:$F$89,RAB!$C$14:$C$89,C775)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SUMIFS(RAB!$F$14:$F$89,RAB!$C$14:$C$89,C776)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SUMIFS(RAB!$F$14:$F$89,RAB!$C$14:$C$89,C777)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SUMIFS(RAB!$F$14:$F$89,RAB!$C$14:$C$89,C778)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SUMIFS(RAB!$F$14:$F$89,RAB!$C$14:$C$89,C779)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SUMIFS(RAB!$F$14:$F$89,RAB!$C$14:$C$89,C780)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SUMIFS(RAB!$F$14:$F$89,RAB!$C$14:$C$89,C781)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SUMIFS(RAB!$F$14:$F$89,RAB!$C$14:$C$89,C782)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SUMIFS(RAB!$F$14:$F$89,RAB!$C$14:$C$89,C783)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SUMIFS(RAB!$F$14:$F$89,RAB!$C$14:$C$89,C784)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SUMIFS(RAB!$F$14:$F$89,RAB!$C$14:$C$89,C785)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SUMIFS(RAB!$F$14:$F$89,RAB!$C$14:$C$89,C786)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SUMIFS(RAB!$F$14:$F$89,RAB!$C$14:$C$89,C787)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SUMIFS(RAB!$F$14:$F$89,RAB!$C$14:$C$89,C788)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SUMIFS(RAB!$F$14:$F$89,RAB!$C$14:$C$89,C789)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SUMIFS(RAB!$F$14:$F$89,RAB!$C$14:$C$89,C790)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SUMIFS(RAB!$F$14:$F$89,RAB!$C$14:$C$89,C791)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SUMIFS(RAB!$F$14:$F$89,RAB!$C$14:$C$89,C792)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SUMIFS(RAB!$F$14:$F$89,RAB!$C$14:$C$89,C793)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SUMIFS(RAB!$F$14:$F$89,RAB!$C$14:$C$89,C794)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SUMIFS(RAB!$F$14:$F$89,RAB!$C$14:$C$89,C795)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SUMIFS(RAB!$F$14:$F$89,RAB!$C$14:$C$89,C796)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SUMIFS(RAB!$F$14:$F$89,RAB!$C$14:$C$89,C797)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SUMIFS(RAB!$F$14:$F$89,RAB!$C$14:$C$89,C798)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SUMIFS(RAB!$F$14:$F$89,RAB!$C$14:$C$89,C799)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SUMIFS(RAB!$F$14:$F$89,RAB!$C$14:$C$89,C800)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SUMIFS(RAB!$F$14:$F$89,RAB!$C$14:$C$89,C801)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SUMIFS(RAB!$F$14:$F$89,RAB!$C$14:$C$89,C802)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SUMIFS(RAB!$F$14:$F$89,RAB!$C$14:$C$89,C803)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SUMIFS(RAB!$F$14:$F$89,RAB!$C$14:$C$89,C804)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SUMIFS(RAB!$F$14:$F$89,RAB!$C$14:$C$89,C805)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SUMIFS(RAB!$F$14:$F$89,RAB!$C$14:$C$89,C806)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SUMIFS(RAB!$F$14:$F$89,RAB!$C$14:$C$89,C807)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SUMIFS(RAB!$F$14:$F$89,RAB!$C$14:$C$89,C808)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SUMIFS(RAB!$F$14:$F$89,RAB!$C$14:$C$89,C809)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SUMIFS(RAB!$F$14:$F$89,RAB!$C$14:$C$89,C810)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SUMIFS(RAB!$F$14:$F$89,RAB!$C$14:$C$89,C811)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SUMIFS(RAB!$F$14:$F$89,RAB!$C$14:$C$89,C812)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SUMIFS(RAB!$F$14:$F$89,RAB!$C$14:$C$89,C813)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SUMIFS(RAB!$F$14:$F$89,RAB!$C$14:$C$89,C814)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SUMIFS(RAB!$F$14:$F$89,RAB!$C$14:$C$89,C815)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SUMIFS(RAB!$F$14:$F$89,RAB!$C$14:$C$89,C816)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SUMIFS(RAB!$F$14:$F$89,RAB!$C$14:$C$89,C817)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SUMIFS(RAB!$F$14:$F$89,RAB!$C$14:$C$89,C818)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SUMIFS(RAB!$F$14:$F$89,RAB!$C$14:$C$89,C819)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SUMIFS(RAB!$F$14:$F$89,RAB!$C$14:$C$89,C820)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SUMIFS(RAB!$F$14:$F$89,RAB!$C$14:$C$89,C821)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SUMIFS(RAB!$F$14:$F$89,RAB!$C$14:$C$89,C822)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SUMIFS(RAB!$F$14:$F$89,RAB!$C$14:$C$89,C823)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SUMIFS(RAB!$F$14:$F$89,RAB!$C$14:$C$89,C824)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SUMIFS(RAB!$F$14:$F$89,RAB!$C$14:$C$89,C825)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SUMIFS(RAB!$F$14:$F$89,RAB!$C$14:$C$89,C826)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SUMIFS(RAB!$F$14:$F$89,RAB!$C$14:$C$89,C827)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SUMIFS(RAB!$F$14:$F$89,RAB!$C$14:$C$89,C828)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SUMIFS(RAB!$F$14:$F$89,RAB!$C$14:$C$89,C829)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SUMIFS(RAB!$F$14:$F$89,RAB!$C$14:$C$89,C830)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SUMIFS(RAB!$F$14:$F$89,RAB!$C$14:$C$89,C831)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SUMIFS(RAB!$F$14:$F$89,RAB!$C$14:$C$89,C832)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SUMIFS(RAB!$F$14:$F$89,RAB!$C$14:$C$89,C833)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SUMIFS(RAB!$F$14:$F$89,RAB!$C$14:$C$89,C834)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SUMIFS(RAB!$F$14:$F$89,RAB!$C$14:$C$89,C835)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SUMIFS(RAB!$F$14:$F$89,RAB!$C$14:$C$89,C836)</f>
        <v>100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SUMIFS(RAB!$F$14:$F$89,RAB!$C$14:$C$89,C837)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SUMIFS(RAB!$F$14:$F$89,RAB!$C$14:$C$89,C838)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SUMIFS(RAB!$F$14:$F$89,RAB!$C$14:$C$89,C839)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SUMIFS(RAB!$F$14:$F$89,RAB!$C$14:$C$89,C840)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SUMIFS(RAB!$F$14:$F$89,RAB!$C$14:$C$89,C841)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SUMIFS(RAB!$F$14:$F$89,RAB!$C$14:$C$89,C842)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SUMIFS(RAB!$F$14:$F$89,RAB!$C$14:$C$89,C843)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SUMIFS(RAB!$F$14:$F$89,RAB!$C$14:$C$89,C844)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SUMIFS(RAB!$F$14:$F$89,RAB!$C$14:$C$89,C845)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SUMIFS(RAB!$F$14:$F$89,RAB!$C$14:$C$89,C846)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SUMIFS(RAB!$F$14:$F$89,RAB!$C$14:$C$89,C847)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SUMIFS(RAB!$F$14:$F$89,RAB!$C$14:$C$89,C848)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SUMIFS(RAB!$F$14:$F$89,RAB!$C$14:$C$89,C849)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SUMIFS(RAB!$F$14:$F$89,RAB!$C$14:$C$89,C850)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SUMIFS(RAB!$F$14:$F$89,RAB!$C$14:$C$89,C851)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SUMIFS(RAB!$F$14:$F$89,RAB!$C$14:$C$89,C852)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SUMIFS(RAB!$F$14:$F$89,RAB!$C$14:$C$89,C853)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SUMIFS(RAB!$F$14:$F$89,RAB!$C$14:$C$89,C854)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SUMIFS(RAB!$F$14:$F$89,RAB!$C$14:$C$89,C855)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SUMIFS(RAB!$F$14:$F$89,RAB!$C$14:$C$89,C856)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SUMIFS(RAB!$F$14:$F$89,RAB!$C$14:$C$89,C857)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SUMIFS(RAB!$F$14:$F$89,RAB!$C$14:$C$89,C858)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SUMIFS(RAB!$F$14:$F$89,RAB!$C$14:$C$89,C859)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SUMIFS(RAB!$F$14:$F$89,RAB!$C$14:$C$89,C860)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SUMIFS(RAB!$F$14:$F$89,RAB!$C$14:$C$89,C861)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SUMIFS(RAB!$F$14:$F$89,RAB!$C$14:$C$89,C862)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SUMIFS(RAB!$F$14:$F$89,RAB!$C$14:$C$89,C863)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SUMIFS(RAB!$F$14:$F$89,RAB!$C$14:$C$89,C864)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SUMIFS(RAB!$F$14:$F$89,RAB!$C$14:$C$89,C865)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SUMIFS(RAB!$F$14:$F$89,RAB!$C$14:$C$89,C866)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SUMIFS(RAB!$F$14:$F$89,RAB!$C$14:$C$89,C867)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SUMIFS(RAB!$F$14:$F$89,RAB!$C$14:$C$89,C868)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SUMIFS(RAB!$F$14:$F$89,RAB!$C$14:$C$89,C869)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SUMIFS(RAB!$F$14:$F$89,RAB!$C$14:$C$89,C870)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SUMIFS(RAB!$F$14:$F$89,RAB!$C$14:$C$89,C871)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SUMIFS(RAB!$F$14:$F$89,RAB!$C$14:$C$89,C872)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SUMIFS(RAB!$F$14:$F$89,RAB!$C$14:$C$89,C873)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SUMIFS(RAB!$F$14:$F$89,RAB!$C$14:$C$89,C874)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SUMIFS(RAB!$F$14:$F$89,RAB!$C$14:$C$89,C875)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SUMIFS(RAB!$F$14:$F$89,RAB!$C$14:$C$89,C876)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SUMIFS(RAB!$F$14:$F$89,RAB!$C$14:$C$89,C877)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SUMIFS(RAB!$F$14:$F$89,RAB!$C$14:$C$89,C878)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SUMIFS(RAB!$F$14:$F$89,RAB!$C$14:$C$89,C879)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SUMIFS(RAB!$F$14:$F$89,RAB!$C$14:$C$89,C880)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SUMIFS(RAB!$F$14:$F$89,RAB!$C$14:$C$89,C881)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SUMIFS(RAB!$F$14:$F$89,RAB!$C$14:$C$89,C882)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SUMIFS(RAB!$F$14:$F$89,RAB!$C$14:$C$89,C883)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SUMIFS(RAB!$F$14:$F$89,RAB!$C$14:$C$89,C884)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SUMIFS(RAB!$F$14:$F$89,RAB!$C$14:$C$89,C885)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SUMIFS(RAB!$F$14:$F$89,RAB!$C$14:$C$89,C886)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SUMIFS(RAB!$F$14:$F$89,RAB!$C$14:$C$89,C887)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SUMIFS(RAB!$F$14:$F$89,RAB!$C$14:$C$89,C888)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SUMIFS(RAB!$F$14:$F$89,RAB!$C$14:$C$89,C889)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SUMIFS(RAB!$F$14:$F$89,RAB!$C$14:$C$89,C890)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SUMIFS(RAB!$F$14:$F$89,RAB!$C$14:$C$89,C891)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SUMIFS(RAB!$F$14:$F$89,RAB!$C$14:$C$89,C892)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SUMIFS(RAB!$F$14:$F$89,RAB!$C$14:$C$89,C893)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SUMIFS(RAB!$F$14:$F$89,RAB!$C$14:$C$89,C894)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SUMIFS(RAB!$F$14:$F$89,RAB!$C$14:$C$89,C895)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SUMIFS(RAB!$F$14:$F$89,RAB!$C$14:$C$89,C896)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SUMIFS(RAB!$F$14:$F$89,RAB!$C$14:$C$89,C897)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SUMIFS(RAB!$F$14:$F$89,RAB!$C$14:$C$89,C898)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SUMIFS(RAB!$F$14:$F$89,RAB!$C$14:$C$89,C899)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SUMIFS(RAB!$F$14:$F$89,RAB!$C$14:$C$89,C900)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SUMIFS(RAB!$F$14:$F$89,RAB!$C$14:$C$89,C901)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SUMIFS(RAB!$F$14:$F$89,RAB!$C$14:$C$89,C902)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SUMIFS(RAB!$F$14:$F$89,RAB!$C$14:$C$89,C903)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SUMIFS(RAB!$F$14:$F$89,RAB!$C$14:$C$89,C904)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SUMIFS(RAB!$F$14:$F$89,RAB!$C$14:$C$89,C905)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SUMIFS(RAB!$F$14:$F$89,RAB!$C$14:$C$89,C906)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SUMIFS(RAB!$F$14:$F$89,RAB!$C$14:$C$89,C907)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SUMIFS(RAB!$F$14:$F$89,RAB!$C$14:$C$89,C908)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SUMIFS(RAB!$F$14:$F$89,RAB!$C$14:$C$89,C909)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SUMIFS(RAB!$F$14:$F$89,RAB!$C$14:$C$89,C910)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SUMIFS(RAB!$F$14:$F$89,RAB!$C$14:$C$89,C911)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SUMIFS(RAB!$F$14:$F$89,RAB!$C$14:$C$89,C912)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SUMIFS(RAB!$F$14:$F$89,RAB!$C$14:$C$89,C913)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SUMIFS(RAB!$F$14:$F$89,RAB!$C$14:$C$89,C914)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SUMIFS(RAB!$F$14:$F$89,RAB!$C$14:$C$89,C915)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SUMIFS(RAB!$F$14:$F$89,RAB!$C$14:$C$89,C916)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SUMIFS(RAB!$F$14:$F$89,RAB!$C$14:$C$89,C917)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SUMIFS(RAB!$F$14:$F$89,RAB!$C$14:$C$89,C918)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SUMIFS(RAB!$F$14:$F$89,RAB!$C$14:$C$89,C919)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SUMIFS(RAB!$F$14:$F$89,RAB!$C$14:$C$89,C920)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SUMIFS(RAB!$F$14:$F$89,RAB!$C$14:$C$89,C921)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SUMIFS(RAB!$F$14:$F$89,RAB!$C$14:$C$89,C922)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SUMIFS(RAB!$F$14:$F$89,RAB!$C$14:$C$89,C923)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SUMIFS(RAB!$F$14:$F$89,RAB!$C$14:$C$89,C924)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SUMIFS(RAB!$F$14:$F$89,RAB!$C$14:$C$89,C925)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SUMIFS(RAB!$F$14:$F$89,RAB!$C$14:$C$89,C926)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SUMIFS(RAB!$F$14:$F$89,RAB!$C$14:$C$89,C927)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SUMIFS(RAB!$F$14:$F$89,RAB!$C$14:$C$89,C928)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SUMIFS(RAB!$F$14:$F$89,RAB!$C$14:$C$89,C929)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SUMIFS(RAB!$F$14:$F$89,RAB!$C$14:$C$89,C930)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SUMIFS(RAB!$F$14:$F$89,RAB!$C$14:$C$89,C931)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SUMIFS(RAB!$F$14:$F$89,RAB!$C$14:$C$89,C932)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SUMIFS(RAB!$F$14:$F$89,RAB!$C$14:$C$89,C933)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SUMIFS(RAB!$F$14:$F$89,RAB!$C$14:$C$89,C934)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SUMIFS(RAB!$F$14:$F$89,RAB!$C$14:$C$89,C935)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SUMIFS(RAB!$F$14:$F$89,RAB!$C$14:$C$89,C936)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SUMIFS(RAB!$F$14:$F$89,RAB!$C$14:$C$89,C937)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SUMIFS(RAB!$F$14:$F$89,RAB!$C$14:$C$89,C938)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SUMIFS(RAB!$F$14:$F$89,RAB!$C$14:$C$89,C939)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SUMIFS(RAB!$F$14:$F$89,RAB!$C$14:$C$89,C940)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SUMIFS(RAB!$F$14:$F$89,RAB!$C$14:$C$89,C941)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SUMIFS(RAB!$F$14:$F$89,RAB!$C$14:$C$89,C942)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SUMIFS(RAB!$F$14:$F$89,RAB!$C$14:$C$89,C943)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SUMIFS(RAB!$F$14:$F$89,RAB!$C$14:$C$89,C944)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SUMIFS(RAB!$F$14:$F$89,RAB!$C$14:$C$89,C945)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SUMIFS(RAB!$F$14:$F$89,RAB!$C$14:$C$89,C946)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SUMIFS(RAB!$F$14:$F$89,RAB!$C$14:$C$89,C947)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SUMIFS(RAB!$F$14:$F$89,RAB!$C$14:$C$89,C948)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SUMIFS(RAB!$F$14:$F$89,RAB!$C$14:$C$89,C949)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SUMIFS(RAB!$F$14:$F$89,RAB!$C$14:$C$89,C950)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SUMIFS(RAB!$F$14:$F$89,RAB!$C$14:$C$89,C951)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SUMIFS(RAB!$F$14:$F$89,RAB!$C$14:$C$89,C952)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SUMIFS(RAB!$F$14:$F$89,RAB!$C$14:$C$89,C953)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SUMIFS(RAB!$F$14:$F$89,RAB!$C$14:$C$89,C954)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SUMIFS(RAB!$F$14:$F$89,RAB!$C$14:$C$89,C955)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SUMIFS(RAB!$F$14:$F$89,RAB!$C$14:$C$89,C956)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SUMIFS(RAB!$F$14:$F$89,RAB!$C$14:$C$89,C957)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SUMIFS(RAB!$F$14:$F$89,RAB!$C$14:$C$89,C958)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SUMIFS(RAB!$F$14:$F$89,RAB!$C$14:$C$89,C959)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SUMIFS(RAB!$F$14:$F$89,RAB!$C$14:$C$89,C960)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SUMIFS(RAB!$F$14:$F$89,RAB!$C$14:$C$89,C961)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SUMIFS(RAB!$F$14:$F$89,RAB!$C$14:$C$89,C962)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SUMIFS(RAB!$F$14:$F$89,RAB!$C$14:$C$89,C963)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SUMIFS(RAB!$F$14:$F$89,RAB!$C$14:$C$89,C964)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SUMIFS(RAB!$F$14:$F$89,RAB!$C$14:$C$89,C965)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SUMIFS(RAB!$F$14:$F$89,RAB!$C$14:$C$89,C966)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SUMIFS(RAB!$F$14:$F$89,RAB!$C$14:$C$89,C967)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SUMIFS(RAB!$F$14:$F$89,RAB!$C$14:$C$89,C968)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SUMIFS(RAB!$F$14:$F$89,RAB!$C$14:$C$89,C969)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SUMIFS(RAB!$F$14:$F$89,RAB!$C$14:$C$89,C970)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SUMIFS(RAB!$F$14:$F$89,RAB!$C$14:$C$89,C971)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SUMIFS(RAB!$F$14:$F$89,RAB!$C$14:$C$89,C972)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SUMIFS(RAB!$F$14:$F$89,RAB!$C$14:$C$89,C973)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SUMIFS(RAB!$F$14:$F$89,RAB!$C$14:$C$89,C974)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SUMIFS(RAB!$F$14:$F$89,RAB!$C$14:$C$89,C975)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SUMIFS(RAB!$F$14:$F$89,RAB!$C$14:$C$89,C976)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SUMIFS(RAB!$F$14:$F$89,RAB!$C$14:$C$89,C977)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SUMIFS(RAB!$F$14:$F$89,RAB!$C$14:$C$89,C978)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SUMIFS(RAB!$F$14:$F$89,RAB!$C$14:$C$89,C979)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SUMIFS(RAB!$F$14:$F$89,RAB!$C$14:$C$89,C980)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SUMIFS(RAB!$F$14:$F$89,RAB!$C$14:$C$89,C981)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SUMIFS(RAB!$F$14:$F$89,RAB!$C$14:$C$89,C982)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SUMIFS(RAB!$F$14:$F$89,RAB!$C$14:$C$89,C983)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SUMIFS(RAB!$F$14:$F$89,RAB!$C$14:$C$89,C984)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SUMIFS(RAB!$F$14:$F$89,RAB!$C$14:$C$89,C985)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SUMIFS(RAB!$F$14:$F$89,RAB!$C$14:$C$89,C986)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SUMIFS(RAB!$F$14:$F$89,RAB!$C$14:$C$89,C987)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SUMIFS(RAB!$F$14:$F$89,RAB!$C$14:$C$89,C988)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SUMIFS(RAB!$F$14:$F$89,RAB!$C$14:$C$89,C989)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SUMIFS(RAB!$F$14:$F$89,RAB!$C$14:$C$89,C990)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SUMIFS(RAB!$F$14:$F$89,RAB!$C$14:$C$89,C991)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SUMIFS(RAB!$F$14:$F$89,RAB!$C$14:$C$89,C992)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SUMIFS(RAB!$F$14:$F$89,RAB!$C$14:$C$89,C993)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SUMIFS(RAB!$F$14:$F$89,RAB!$C$14:$C$89,C994)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SUMIFS(RAB!$F$14:$F$89,RAB!$C$14:$C$89,C995)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SUMIFS(RAB!$F$14:$F$89,RAB!$C$14:$C$89,C996)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SUMIFS(RAB!$F$14:$F$89,RAB!$C$14:$C$89,C997)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SUMIFS(RAB!$F$14:$F$89,RAB!$C$14:$C$89,C998)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SUMIFS(RAB!$F$14:$F$89,RAB!$C$14:$C$89,C999)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SUMIFS(RAB!$F$14:$F$89,RAB!$C$14:$C$89,C1000)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SUMIFS(RAB!$F$14:$F$89,RAB!$C$14:$C$89,C1001)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SUMIFS(RAB!$F$14:$F$89,RAB!$C$14:$C$89,C1002)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SUMIFS(RAB!$F$14:$F$89,RAB!$C$14:$C$89,C1003)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SUMIFS(RAB!$F$14:$F$89,RAB!$C$14:$C$89,C1004)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SUMIFS(RAB!$F$14:$F$89,RAB!$C$14:$C$89,C1005)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SUMIFS(RAB!$F$14:$F$89,RAB!$C$14:$C$89,C1006)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SUMIFS(RAB!$F$14:$F$89,RAB!$C$14:$C$89,C1007)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SUMIFS(RAB!$F$14:$F$89,RAB!$C$14:$C$89,C1008)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SUMIFS(RAB!$F$14:$F$89,RAB!$C$14:$C$89,C1009)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SUMIFS(RAB!$F$14:$F$89,RAB!$C$14:$C$89,C1010)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SUMIFS(RAB!$F$14:$F$89,RAB!$C$14:$C$89,C1011)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SUMIFS(RAB!$F$14:$F$89,RAB!$C$14:$C$89,C1012)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SUMIFS(RAB!$F$14:$F$89,RAB!$C$14:$C$89,C1013)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SUMIFS(RAB!$F$14:$F$89,RAB!$C$14:$C$89,C1014)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SUMIFS(RAB!$F$14:$F$89,RAB!$C$14:$C$89,C1015)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SUMIFS(RAB!$F$14:$F$89,RAB!$C$14:$C$89,C1016)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SUMIFS(RAB!$F$14:$F$89,RAB!$C$14:$C$89,C1017)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SUMIFS(RAB!$F$14:$F$89,RAB!$C$14:$C$89,C1018)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SUMIFS(RAB!$F$14:$F$89,RAB!$C$14:$C$89,C1019)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SUMIFS(RAB!$F$14:$F$89,RAB!$C$14:$C$89,C1020)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SUMIFS(RAB!$F$14:$F$89,RAB!$C$14:$C$89,C1021)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SUMIFS(RAB!$F$14:$F$89,RAB!$C$14:$C$89,C1022)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SUMIFS(RAB!$F$14:$F$89,RAB!$C$14:$C$89,C1023)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SUMIFS(RAB!$F$14:$F$89,RAB!$C$14:$C$89,C1024)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SUMIFS(RAB!$F$14:$F$89,RAB!$C$14:$C$89,C1025)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SUMIFS(RAB!$F$14:$F$89,RAB!$C$14:$C$89,C1026)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SUMIFS(RAB!$F$14:$F$89,RAB!$C$14:$C$89,C1027)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SUMIFS(RAB!$F$14:$F$89,RAB!$C$14:$C$89,C1028)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SUMIFS(RAB!$F$14:$F$89,RAB!$C$14:$C$89,C1029)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SUMIFS(RAB!$F$14:$F$89,RAB!$C$14:$C$89,C1030)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SUMIFS(RAB!$F$14:$F$89,RAB!$C$14:$C$89,C1031)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SUMIFS(RAB!$F$14:$F$89,RAB!$C$14:$C$89,C1032)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SUMIFS(RAB!$F$14:$F$89,RAB!$C$14:$C$89,C1033)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SUMIFS(RAB!$F$14:$F$89,RAB!$C$14:$C$89,C1034)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SUMIFS(RAB!$F$14:$F$89,RAB!$C$14:$C$89,C1035)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SUMIFS(RAB!$F$14:$F$89,RAB!$C$14:$C$89,C1036)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SUMIFS(RAB!$F$14:$F$89,RAB!$C$14:$C$89,C1037)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SUMIFS(RAB!$F$14:$F$89,RAB!$C$14:$C$89,C1038)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SUMIFS(RAB!$F$14:$F$89,RAB!$C$14:$C$89,C1039)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SUMIFS(RAB!$F$14:$F$89,RAB!$C$14:$C$89,C1040)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SUMIFS(RAB!$F$14:$F$89,RAB!$C$14:$C$89,C1041)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SUMIFS(RAB!$F$14:$F$89,RAB!$C$14:$C$89,C1042)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SUMIFS(RAB!$F$14:$F$89,RAB!$C$14:$C$89,C1043)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SUMIFS(RAB!$F$14:$F$89,RAB!$C$14:$C$89,C1044)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SUMIFS(RAB!$F$14:$F$89,RAB!$C$14:$C$89,C1045)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SUMIFS(RAB!$F$14:$F$89,RAB!$C$14:$C$89,C1046)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SUMIFS(RAB!$F$14:$F$89,RAB!$C$14:$C$89,C1047)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SUMIFS(RAB!$F$14:$F$89,RAB!$C$14:$C$89,C1048)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SUMIFS(RAB!$F$14:$F$89,RAB!$C$14:$C$89,C1049)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SUMIFS(RAB!$F$14:$F$89,RAB!$C$14:$C$89,C1050)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SUMIFS(RAB!$F$14:$F$89,RAB!$C$14:$C$89,C1051)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SUMIFS(RAB!$F$14:$F$89,RAB!$C$14:$C$89,C1052)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SUMIFS(RAB!$F$14:$F$89,RAB!$C$14:$C$89,C1053)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SUMIFS(RAB!$F$14:$F$89,RAB!$C$14:$C$89,C1054)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SUMIFS(RAB!$F$14:$F$89,RAB!$C$14:$C$89,C1055)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SUMIFS(RAB!$F$14:$F$89,RAB!$C$14:$C$89,C1056)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SUMIFS(RAB!$F$14:$F$89,RAB!$C$14:$C$89,C1057)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SUMIFS(RAB!$F$14:$F$89,RAB!$C$14:$C$89,C1058)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SUMIFS(RAB!$F$14:$F$89,RAB!$C$14:$C$89,C1059)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SUMIFS(RAB!$F$14:$F$89,RAB!$C$14:$C$89,C1060)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SUMIFS(RAB!$F$14:$F$89,RAB!$C$14:$C$89,C1061)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SUMIFS(RAB!$F$14:$F$89,RAB!$C$14:$C$89,C1062)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SUMIFS(RAB!$F$14:$F$89,RAB!$C$14:$C$89,C1063)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SUMIFS(RAB!$F$14:$F$89,RAB!$C$14:$C$89,C1064)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SUMIFS(RAB!$F$14:$F$89,RAB!$C$14:$C$89,C1065)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SUMIFS(RAB!$F$14:$F$89,RAB!$C$14:$C$89,C1066)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SUMIFS(RAB!$F$14:$F$89,RAB!$C$14:$C$89,C1067)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SUMIFS(RAB!$F$14:$F$89,RAB!$C$14:$C$89,C1068)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SUMIFS(RAB!$F$14:$F$89,RAB!$C$14:$C$89,C1069)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SUMIFS(RAB!$F$14:$F$89,RAB!$C$14:$C$89,C1070)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SUMIFS(RAB!$F$14:$F$89,RAB!$C$14:$C$89,C1071)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SUMIFS(RAB!$F$14:$F$89,RAB!$C$14:$C$89,C1072)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SUMIFS(RAB!$F$14:$F$89,RAB!$C$14:$C$89,C1073)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SUMIFS(RAB!$F$14:$F$89,RAB!$C$14:$C$89,C1074)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SUMIFS(RAB!$F$14:$F$89,RAB!$C$14:$C$89,C1075)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SUMIFS(RAB!$F$14:$F$89,RAB!$C$14:$C$89,C1076)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SUMIFS(RAB!$F$14:$F$89,RAB!$C$14:$C$89,C1077)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SUMIFS(RAB!$F$14:$F$89,RAB!$C$14:$C$89,C1078)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SUMIFS(RAB!$F$14:$F$89,RAB!$C$14:$C$89,C1079)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SUMIFS(RAB!$F$14:$F$89,RAB!$C$14:$C$89,C1080)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SUMIFS(RAB!$F$14:$F$89,RAB!$C$14:$C$89,C1081)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SUMIFS(RAB!$F$14:$F$89,RAB!$C$14:$C$89,C1082)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SUMIFS(RAB!$F$14:$F$89,RAB!$C$14:$C$89,C1083)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SUMIFS(RAB!$F$14:$F$89,RAB!$C$14:$C$89,C1084)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SUMIFS(RAB!$F$14:$F$89,RAB!$C$14:$C$89,C1085)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SUMIFS(RAB!$F$14:$F$89,RAB!$C$14:$C$89,C1086)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SUMIFS(RAB!$F$14:$F$89,RAB!$C$14:$C$89,C1087)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SUMIFS(RAB!$F$14:$F$89,RAB!$C$14:$C$89,C1088)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SUMIFS(RAB!$F$14:$F$89,RAB!$C$14:$C$89,C1089)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SUMIFS(RAB!$F$14:$F$89,RAB!$C$14:$C$89,C1090)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SUMIFS(RAB!$F$14:$F$89,RAB!$C$14:$C$89,C1091)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SUMIFS(RAB!$F$14:$F$89,RAB!$C$14:$C$89,C1092)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SUMIFS(RAB!$F$14:$F$89,RAB!$C$14:$C$89,C1093)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SUMIFS(RAB!$F$14:$F$89,RAB!$C$14:$C$89,C1094)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SUMIFS(RAB!$F$14:$F$89,RAB!$C$14:$C$89,C1095)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SUMIFS(RAB!$F$14:$F$89,RAB!$C$14:$C$89,C1096)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SUMIFS(RAB!$F$14:$F$89,RAB!$C$14:$C$89,C1097)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SUMIFS(RAB!$F$14:$F$89,RAB!$C$14:$C$89,C1098)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SUMIFS(RAB!$F$14:$F$89,RAB!$C$14:$C$89,C1099)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SUMIFS(RAB!$F$14:$F$89,RAB!$C$14:$C$89,C1100)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SUMIFS(RAB!$F$14:$F$89,RAB!$C$14:$C$89,C1101)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SUMIFS(RAB!$F$14:$F$89,RAB!$C$14:$C$89,C1102)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SUMIFS(RAB!$F$14:$F$89,RAB!$C$14:$C$89,C1103)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SUMIFS(RAB!$F$14:$F$89,RAB!$C$14:$C$89,C1104)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SUMIFS(RAB!$F$14:$F$89,RAB!$C$14:$C$89,C1105)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SUMIFS(RAB!$F$14:$F$89,RAB!$C$14:$C$89,C1106)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SUMIFS(RAB!$F$14:$F$89,RAB!$C$14:$C$89,C1107)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SUMIFS(RAB!$F$14:$F$89,RAB!$C$14:$C$89,C1108)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SUMIFS(RAB!$F$14:$F$89,RAB!$C$14:$C$89,C1109)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SUMIFS(RAB!$F$14:$F$89,RAB!$C$14:$C$89,C1110)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SUMIFS(RAB!$F$14:$F$89,RAB!$C$14:$C$89,C1111)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SUMIFS(RAB!$F$14:$F$89,RAB!$C$14:$C$89,C1112)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SUMIFS(RAB!$F$14:$F$89,RAB!$C$14:$C$89,C1113)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SUMIFS(RAB!$F$14:$F$89,RAB!$C$14:$C$89,C1114)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SUMIFS(RAB!$F$14:$F$89,RAB!$C$14:$C$89,C1115)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SUMIFS(RAB!$F$14:$F$89,RAB!$C$14:$C$89,C1116)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SUMIFS(RAB!$F$14:$F$89,RAB!$C$14:$C$89,C1117)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SUMIFS(RAB!$F$14:$F$89,RAB!$C$14:$C$89,C1118)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SUMIFS(RAB!$F$14:$F$89,RAB!$C$14:$C$89,C1119)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SUMIFS(RAB!$F$14:$F$89,RAB!$C$14:$C$89,C1120)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SUMIFS(RAB!$F$14:$F$89,RAB!$C$14:$C$89,C1121)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SUMIFS(RAB!$F$14:$F$89,RAB!$C$14:$C$89,C1122)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SUMIFS(RAB!$F$14:$F$89,RAB!$C$14:$C$89,C1123)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SUMIFS(RAB!$F$14:$F$89,RAB!$C$14:$C$89,C1124)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SUMIFS(RAB!$F$14:$F$89,RAB!$C$14:$C$89,C1125)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SUMIFS(RAB!$F$14:$F$89,RAB!$C$14:$C$89,C1126)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SUMIFS(RAB!$F$14:$F$89,RAB!$C$14:$C$89,C1127)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SUMIFS(RAB!$F$14:$F$89,RAB!$C$14:$C$89,C1128)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SUMIFS(RAB!$F$14:$F$89,RAB!$C$14:$C$89,C1129)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SUMIFS(RAB!$F$14:$F$89,RAB!$C$14:$C$89,C1130)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SUMIFS(RAB!$F$14:$F$89,RAB!$C$14:$C$89,C1131)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SUMIFS(RAB!$F$14:$F$89,RAB!$C$14:$C$89,C1132)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SUMIFS(RAB!$F$14:$F$89,RAB!$C$14:$C$89,C1133)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SUMIFS(RAB!$F$14:$F$89,RAB!$C$14:$C$89,C1134)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SUMIFS(RAB!$F$14:$F$89,RAB!$C$14:$C$89,C1135)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SUMIFS(RAB!$F$14:$F$89,RAB!$C$14:$C$89,C1136)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SUMIFS(RAB!$F$14:$F$89,RAB!$C$14:$C$89,C1137)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SUMIFS(RAB!$F$14:$F$89,RAB!$C$14:$C$89,C1138)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SUMIFS(RAB!$F$14:$F$89,RAB!$C$14:$C$89,C1139)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SUMIFS(RAB!$F$14:$F$89,RAB!$C$14:$C$89,C1140)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SUMIFS(RAB!$F$14:$F$89,RAB!$C$14:$C$89,C1141)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SUMIFS(RAB!$F$14:$F$89,RAB!$C$14:$C$89,C1142)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SUMIFS(RAB!$F$14:$F$89,RAB!$C$14:$C$89,C1143)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SUMIFS(RAB!$F$14:$F$89,RAB!$C$14:$C$89,C1144)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SUMIFS(RAB!$F$14:$F$89,RAB!$C$14:$C$89,C1145)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SUMIFS(RAB!$F$14:$F$89,RAB!$C$14:$C$89,C1146)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SUMIFS(RAB!$F$14:$F$89,RAB!$C$14:$C$89,C1147)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SUMIFS(RAB!$F$14:$F$89,RAB!$C$14:$C$89,C1148)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SUMIFS(RAB!$F$14:$F$89,RAB!$C$14:$C$89,C1149)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SUMIFS(RAB!$F$14:$F$89,RAB!$C$14:$C$89,C1150)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SUMIFS(RAB!$F$14:$F$89,RAB!$C$14:$C$89,C1151)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SUMIFS(RAB!$F$14:$F$89,RAB!$C$14:$C$89,C1152)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SUMIFS(RAB!$F$14:$F$89,RAB!$C$14:$C$89,C1153)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SUMIFS(RAB!$F$14:$F$89,RAB!$C$14:$C$89,C1154)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SUMIFS(RAB!$F$14:$F$89,RAB!$C$14:$C$89,C1155)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SUMIFS(RAB!$F$14:$F$89,RAB!$C$14:$C$89,C1156)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SUMIFS(RAB!$F$14:$F$89,RAB!$C$14:$C$89,C1157)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SUMIFS(RAB!$F$14:$F$89,RAB!$C$14:$C$89,C1158)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SUMIFS(RAB!$F$14:$F$89,RAB!$C$14:$C$89,C1159)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SUMIFS(RAB!$F$14:$F$89,RAB!$C$14:$C$89,C1160)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SUMIFS(RAB!$F$14:$F$89,RAB!$C$14:$C$89,C1161)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SUMIFS(RAB!$F$14:$F$89,RAB!$C$14:$C$89,C1162)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SUMIFS(RAB!$F$14:$F$89,RAB!$C$14:$C$89,C1163)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SUMIFS(RAB!$F$14:$F$89,RAB!$C$14:$C$89,C1164)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SUMIFS(RAB!$F$14:$F$89,RAB!$C$14:$C$89,C1165)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SUMIFS(RAB!$F$14:$F$89,RAB!$C$14:$C$89,C1166)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SUMIFS(RAB!$F$14:$F$89,RAB!$C$14:$C$89,C1167)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SUMIFS(RAB!$F$14:$F$89,RAB!$C$14:$C$89,C1168)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SUMIFS(RAB!$F$14:$F$89,RAB!$C$14:$C$89,C1169)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SUMIFS(RAB!$F$14:$F$89,RAB!$C$14:$C$89,C1170)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SUMIFS(RAB!$F$14:$F$89,RAB!$C$14:$C$89,C1171)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SUMIFS(RAB!$F$14:$F$89,RAB!$C$14:$C$89,C1172)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SUMIFS(RAB!$F$14:$F$89,RAB!$C$14:$C$89,C1173)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SUMIFS(RAB!$F$14:$F$89,RAB!$C$14:$C$89,C1174)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SUMIFS(RAB!$F$14:$F$89,RAB!$C$14:$C$89,C1175)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SUMIFS(RAB!$F$14:$F$89,RAB!$C$14:$C$89,C1176)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SUMIFS(RAB!$F$14:$F$89,RAB!$C$14:$C$89,C1177)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SUMIFS(RAB!$F$14:$F$89,RAB!$C$14:$C$89,C1178)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SUMIFS(RAB!$F$14:$F$89,RAB!$C$14:$C$89,C1179)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SUMIFS(RAB!$F$14:$F$89,RAB!$C$14:$C$89,C1180)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SUMIFS(RAB!$F$14:$F$89,RAB!$C$14:$C$89,C1181)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SUMIFS(RAB!$F$14:$F$89,RAB!$C$14:$C$89,C1182)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SUMIFS(RAB!$F$14:$F$89,RAB!$C$14:$C$89,C1183)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SUMIFS(RAB!$F$14:$F$89,RAB!$C$14:$C$89,C1184)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SUMIFS(RAB!$F$14:$F$89,RAB!$C$14:$C$89,C1185)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SUMIFS(RAB!$F$14:$F$89,RAB!$C$14:$C$89,C1186)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SUMIFS(RAB!$F$14:$F$89,RAB!$C$14:$C$89,C1187)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SUMIFS(RAB!$F$14:$F$89,RAB!$C$14:$C$89,C1188)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SUMIFS(RAB!$F$14:$F$89,RAB!$C$14:$C$89,C1189)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SUMIFS(RAB!$F$14:$F$89,RAB!$C$14:$C$89,C1190)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SUMIFS(RAB!$F$14:$F$89,RAB!$C$14:$C$89,C1191)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SUMIFS(RAB!$F$14:$F$89,RAB!$C$14:$C$89,C1192)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SUMIFS(RAB!$F$14:$F$89,RAB!$C$14:$C$89,C1193)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SUMIFS(RAB!$F$14:$F$89,RAB!$C$14:$C$89,C1194)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SUMIFS(RAB!$F$14:$F$89,RAB!$C$14:$C$89,C1195)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SUMIFS(RAB!$F$14:$F$89,RAB!$C$14:$C$89,C1196)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SUMIFS(RAB!$F$14:$F$89,RAB!$C$14:$C$89,C1197)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SUMIFS(RAB!$F$14:$F$89,RAB!$C$14:$C$89,C1198)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SUMIFS(RAB!$F$14:$F$89,RAB!$C$14:$C$89,C1199)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SUMIFS(RAB!$F$14:$F$89,RAB!$C$14:$C$89,C1200)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SUMIFS(RAB!$F$14:$F$89,RAB!$C$14:$C$89,C1201)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SUMIFS(RAB!$F$14:$F$89,RAB!$C$14:$C$89,C1202)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SUMIFS(RAB!$F$14:$F$89,RAB!$C$14:$C$89,C1203)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SUMIFS(RAB!$F$14:$F$89,RAB!$C$14:$C$89,C1204)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SUMIFS(RAB!$F$14:$F$89,RAB!$C$14:$C$89,C1205)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SUMIFS(RAB!$F$14:$F$89,RAB!$C$14:$C$89,C1206)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SUMIFS(RAB!$F$14:$F$89,RAB!$C$14:$C$89,C1207)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SUMIFS(RAB!$F$14:$F$89,RAB!$C$14:$C$89,C1208)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SUMIFS(RAB!$F$14:$F$89,RAB!$C$14:$C$89,C1209)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SUMIFS(RAB!$F$14:$F$89,RAB!$C$14:$C$89,C1210)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SUMIFS(RAB!$F$14:$F$89,RAB!$C$14:$C$89,C1211)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SUMIFS(RAB!$F$14:$F$89,RAB!$C$14:$C$89,C1212)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SUMIFS(RAB!$F$14:$F$89,RAB!$C$14:$C$89,C1213)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SUMIFS(RAB!$F$14:$F$89,RAB!$C$14:$C$89,C1214)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SUMIFS(RAB!$F$14:$F$89,RAB!$C$14:$C$89,C1215)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SUMIFS(RAB!$F$14:$F$89,RAB!$C$14:$C$89,C1216)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SUMIFS(RAB!$F$14:$F$89,RAB!$C$14:$C$89,C1217)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SUMIFS(RAB!$F$14:$F$89,RAB!$C$14:$C$89,C1218)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SUMIFS(RAB!$F$14:$F$89,RAB!$C$14:$C$89,C1219)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SUMIFS(RAB!$F$14:$F$89,RAB!$C$14:$C$89,C1220)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SUMIFS(RAB!$F$14:$F$89,RAB!$C$14:$C$89,C1221)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SUMIFS(RAB!$F$14:$F$89,RAB!$C$14:$C$89,C1222)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SUMIFS(RAB!$F$14:$F$89,RAB!$C$14:$C$89,C1223)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SUMIFS(RAB!$F$14:$F$89,RAB!$C$14:$C$89,C1224)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SUMIFS(RAB!$F$14:$F$89,RAB!$C$14:$C$89,C1225)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SUMIFS(RAB!$F$14:$F$89,RAB!$C$14:$C$89,C1226)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SUMIFS(RAB!$F$14:$F$89,RAB!$C$14:$C$89,C1227)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SUMIFS(RAB!$F$14:$F$89,RAB!$C$14:$C$89,C1228)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SUMIFS(RAB!$F$14:$F$89,RAB!$C$14:$C$89,C1229)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SUMIFS(RAB!$F$14:$F$89,RAB!$C$14:$C$89,C1230)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SUMIFS(RAB!$F$14:$F$89,RAB!$C$14:$C$89,C1231)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SUMIFS(RAB!$F$14:$F$89,RAB!$C$14:$C$89,C1232)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SUMIFS(RAB!$F$14:$F$89,RAB!$C$14:$C$89,C1233)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SUMIFS(RAB!$F$14:$F$89,RAB!$C$14:$C$89,C1234)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SUMIFS(RAB!$F$14:$F$89,RAB!$C$14:$C$89,C1235)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SUMIFS(RAB!$F$14:$F$89,RAB!$C$14:$C$89,C1236)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SUMIFS(RAB!$F$14:$F$89,RAB!$C$14:$C$89,C1237)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SUMIFS(RAB!$F$14:$F$89,RAB!$C$14:$C$89,C1238)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SUMIFS(RAB!$F$14:$F$89,RAB!$C$14:$C$89,C1239)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SUMIFS(RAB!$F$14:$F$89,RAB!$C$14:$C$89,C1240)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SUMIFS(RAB!$F$14:$F$89,RAB!$C$14:$C$89,C1241)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SUMIFS(RAB!$F$14:$F$89,RAB!$C$14:$C$89,C1242)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SUMIFS(RAB!$F$14:$F$89,RAB!$C$14:$C$89,C1243)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SUMIFS(RAB!$F$14:$F$89,RAB!$C$14:$C$89,C1244)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SUMIFS(RAB!$F$14:$F$89,RAB!$C$14:$C$89,C1245)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SUMIFS(RAB!$F$14:$F$89,RAB!$C$14:$C$89,C1246)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SUMIFS(RAB!$F$14:$F$89,RAB!$C$14:$C$89,C1247)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SUMIFS(RAB!$F$14:$F$89,RAB!$C$14:$C$89,C1248)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SUMIFS(RAB!$F$14:$F$89,RAB!$C$14:$C$89,C1249)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SUMIFS(RAB!$F$14:$F$89,RAB!$C$14:$C$89,C1250)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SUMIFS(RAB!$F$14:$F$89,RAB!$C$14:$C$89,C1251)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SUMIFS(RAB!$F$14:$F$89,RAB!$C$14:$C$89,C1252)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SUMIFS(RAB!$F$14:$F$89,RAB!$C$14:$C$89,C1253)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SUMIFS(RAB!$F$14:$F$89,RAB!$C$14:$C$89,C1254)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SUMIFS(RAB!$F$14:$F$89,RAB!$C$14:$C$89,C1255)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SUMIFS(RAB!$F$14:$F$89,RAB!$C$14:$C$89,C1256)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SUMIFS(RAB!$F$14:$F$89,RAB!$C$14:$C$89,C1257)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SUMIFS(RAB!$F$14:$F$89,RAB!$C$14:$C$89,C1258)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SUMIFS(RAB!$F$14:$F$89,RAB!$C$14:$C$89,C1259)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SUMIFS(RAB!$F$14:$F$89,RAB!$C$14:$C$89,C1260)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SUMIFS(RAB!$F$14:$F$89,RAB!$C$14:$C$89,C1261)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SUMIFS(RAB!$F$14:$F$89,RAB!$C$14:$C$89,C1262)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SUMIFS(RAB!$F$14:$F$89,RAB!$C$14:$C$89,C1263)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SUMIFS(RAB!$F$14:$F$89,RAB!$C$14:$C$89,C1264)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SUMIFS(RAB!$F$14:$F$89,RAB!$C$14:$C$89,C1265)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SUMIFS(RAB!$F$14:$F$89,RAB!$C$14:$C$89,C1266)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SUMIFS(RAB!$F$14:$F$89,RAB!$C$14:$C$89,C1267)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SUMIFS(RAB!$F$14:$F$89,RAB!$C$14:$C$89,C1268)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SUMIFS(RAB!$F$14:$F$89,RAB!$C$14:$C$89,C1269)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SUMIFS(RAB!$F$14:$F$89,RAB!$C$14:$C$89,C1270)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SUMIFS(RAB!$F$14:$F$89,RAB!$C$14:$C$89,C1271)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SUMIFS(RAB!$F$14:$F$89,RAB!$C$14:$C$89,C1272)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SUMIFS(RAB!$F$14:$F$89,RAB!$C$14:$C$89,C1273)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SUMIFS(RAB!$F$14:$F$89,RAB!$C$14:$C$89,C1274)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SUMIFS(RAB!$F$14:$F$89,RAB!$C$14:$C$89,C1275)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SUMIFS(RAB!$F$14:$F$89,RAB!$C$14:$C$89,C1276)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SUMIFS(RAB!$F$14:$F$89,RAB!$C$14:$C$89,C1277)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SUMIFS(RAB!$F$14:$F$89,RAB!$C$14:$C$89,C1278)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SUMIFS(RAB!$F$14:$F$89,RAB!$C$14:$C$89,C1279)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SUMIFS(RAB!$F$14:$F$89,RAB!$C$14:$C$89,C1280)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SUMIFS(RAB!$F$14:$F$89,RAB!$C$14:$C$89,C1281)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SUMIFS(RAB!$F$14:$F$89,RAB!$C$14:$C$89,C1282)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SUMIFS(RAB!$F$14:$F$89,RAB!$C$14:$C$89,C1283)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SUMIFS(RAB!$F$14:$F$89,RAB!$C$14:$C$89,C1284)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SUMIFS(RAB!$F$14:$F$89,RAB!$C$14:$C$89,C1285)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SUMIFS(RAB!$F$14:$F$89,RAB!$C$14:$C$89,C1286)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SUMIFS(RAB!$F$14:$F$89,RAB!$C$14:$C$89,C1287)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SUMIFS(RAB!$F$14:$F$89,RAB!$C$14:$C$89,C1288)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SUMIFS(RAB!$F$14:$F$89,RAB!$C$14:$C$89,C1289)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SUMIFS(RAB!$F$14:$F$89,RAB!$C$14:$C$89,C1290)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SUMIFS(RAB!$F$14:$F$89,RAB!$C$14:$C$89,C1291)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SUMIFS(RAB!$F$14:$F$89,RAB!$C$14:$C$89,C1292)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SUMIFS(RAB!$F$14:$F$89,RAB!$C$14:$C$89,C1293)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SUMIFS(RAB!$F$14:$F$89,RAB!$C$14:$C$89,C1294)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SUMIFS(RAB!$F$14:$F$89,RAB!$C$14:$C$89,C1295)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SUMIFS(RAB!$F$14:$F$89,RAB!$C$14:$C$89,C1296)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SUMIFS(RAB!$F$14:$F$89,RAB!$C$14:$C$89,C1297)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SUMIFS(RAB!$F$14:$F$89,RAB!$C$14:$C$89,C1298)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SUMIFS(RAB!$F$14:$F$89,RAB!$C$14:$C$89,C1299)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SUMIFS(RAB!$F$14:$F$89,RAB!$C$14:$C$89,C1300)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SUMIFS(RAB!$F$14:$F$89,RAB!$C$14:$C$89,C1301)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SUMIFS(RAB!$F$14:$F$89,RAB!$C$14:$C$89,C1302)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SUMIFS(RAB!$F$14:$F$89,RAB!$C$14:$C$89,C1303)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SUMIFS(RAB!$F$14:$F$89,RAB!$C$14:$C$89,C1304)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SUMIFS(RAB!$F$14:$F$89,RAB!$C$14:$C$89,C1305)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SUMIFS(RAB!$F$14:$F$89,RAB!$C$14:$C$89,C1306)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SUMIFS(RAB!$F$14:$F$89,RAB!$C$14:$C$89,C1307)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SUMIFS(RAB!$F$14:$F$89,RAB!$C$14:$C$89,C1308)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SUMIFS(RAB!$F$14:$F$89,RAB!$C$14:$C$89,C1309)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SUMIFS(RAB!$F$14:$F$89,RAB!$C$14:$C$89,C1310)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SUMIFS(RAB!$F$14:$F$89,RAB!$C$14:$C$89,C1311)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SUMIFS(RAB!$F$14:$F$89,RAB!$C$14:$C$89,C1312)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SUMIFS(RAB!$F$14:$F$89,RAB!$C$14:$C$89,C1313)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SUMIFS(RAB!$F$14:$F$89,RAB!$C$14:$C$89,C1314)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SUMIFS(RAB!$F$14:$F$89,RAB!$C$14:$C$89,C1315)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SUMIFS(RAB!$F$14:$F$89,RAB!$C$14:$C$89,C1316)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SUMIFS(RAB!$F$14:$F$89,RAB!$C$14:$C$89,C1317)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SUMIFS(RAB!$F$14:$F$89,RAB!$C$14:$C$89,C1318)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SUMIFS(RAB!$F$14:$F$89,RAB!$C$14:$C$89,C1319)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SUMIFS(RAB!$F$14:$F$89,RAB!$C$14:$C$89,C1320)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GEDUNG PARIPURNA DPRD DEMAK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TRENGGONO KATONSARI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SUMIFS(RAB!$F$14:$F$89,RAB!$C$14:$C$89,'REKAP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SUMIFS(RAB!$F$14:$F$89,RAB!$C$14:$C$89,'REKAP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SUMIFS(RAB!$F$14:$F$89,RAB!$C$14:$C$89,'REKAP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SUMIFS(RAB!$F$14:$F$89,RAB!$C$14:$C$89,'REKAP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SUMIFS(RAB!$F$14:$F$89,RAB!$C$14:$C$89,'REKAP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SUMIFS(RAB!$F$14:$F$89,RAB!$C$14:$C$89,'REKAP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SUMIFS(RAB!$F$14:$F$89,RAB!$C$14:$C$89,'REKAP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SUMIFS(RAB!$F$14:$F$89,RAB!$C$14:$C$89,'REKAP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SUMIFS(RAB!$F$14:$F$89,RAB!$C$14:$C$89,'REKAP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SUMIFS(RAB!$F$14:$F$89,RAB!$C$14:$C$89,'REKAP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SUMIFS(RAB!$F$14:$F$89,RAB!$C$14:$C$89,'REKAP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SUMIFS(RAB!$F$14:$F$89,RAB!$C$14:$C$89,'REKAP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SUMIFS(RAB!$F$14:$F$89,RAB!$C$14:$C$89,'REKAP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SUMIFS(RAB!$F$14:$F$89,RAB!$C$14:$C$89,'REKAP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SUMIFS(RAB!$F$14:$F$89,RAB!$C$14:$C$89,'REKAP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SUMIFS(RAB!$F$14:$F$89,RAB!$C$14:$C$89,'REKAP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SUMIFS(RAB!$F$14:$F$89,RAB!$C$14:$C$89,'REKAP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SUMIFS(RAB!$F$14:$F$89,RAB!$C$14:$C$89,'REKAP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SUMIFS(RAB!$F$14:$F$89,RAB!$C$14:$C$89,'REKAP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SUMIFS(RAB!$F$14:$F$89,RAB!$C$14:$C$89,'REKAP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GEDUNG PARIPURNA DPRD DEMAK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TRENGGONO KATONSARI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5450000</v>
      </c>
      <c r="I22" s="42">
        <f t="shared" ca="1" si="2"/>
        <v>0</v>
      </c>
      <c r="J22" s="42">
        <f t="shared" ca="1" si="3"/>
        <v>0</v>
      </c>
      <c r="K22" s="43">
        <f t="shared" ca="1" si="0"/>
        <v>5450000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82287350</v>
      </c>
      <c r="I168" s="55">
        <f ca="1">SUM(I14:I167)</f>
        <v>0</v>
      </c>
      <c r="J168" s="55">
        <f ca="1">SUM(J14:J167)</f>
        <v>0</v>
      </c>
      <c r="K168" s="55">
        <f ca="1">SUM(K14:K167)</f>
        <v>82287350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8228735</v>
      </c>
      <c r="I169" s="60">
        <f ca="1">I168*0.1</f>
        <v>0</v>
      </c>
      <c r="J169" s="60">
        <f ca="1">J168*0.1</f>
        <v>0</v>
      </c>
      <c r="K169" s="60">
        <f ca="1">K168*0.1</f>
        <v>8228735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90516085</v>
      </c>
      <c r="I170" s="78">
        <f ca="1">SUM(I168:I169)</f>
        <v>0</v>
      </c>
      <c r="J170" s="61">
        <f ca="1">SUM(J168:J169)</f>
        <v>0</v>
      </c>
      <c r="K170" s="61">
        <f ca="1">SUM(K168:K169)</f>
        <v>90516085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SUMIFS(RAB!$F$14:$F$89,RAB!$C$14:$C$89,C224)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SUMIFS(RAB!$F$14:$F$89,RAB!$C$14:$C$89,C225)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SUMIFS(RAB!$F$14:$F$89,RAB!$C$14:$C$89,C226)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SUMIFS(RAB!$F$14:$F$89,RAB!$C$14:$C$89,C227)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SUMIFS(RAB!$F$14:$F$89,RAB!$C$14:$C$89,C228)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SUMIFS(RAB!$F$14:$F$89,RAB!$C$14:$C$89,C229)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SUMIFS(RAB!$F$14:$F$89,RAB!$C$14:$C$89,C230)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SUMIFS(RAB!$F$14:$F$89,RAB!$C$14:$C$89,C231)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SUMIFS(RAB!$F$14:$F$89,RAB!$C$14:$C$89,C232)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SUMIFS(RAB!$F$14:$F$89,RAB!$C$14:$C$89,C233)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SUMIFS(RAB!$F$14:$F$89,RAB!$C$14:$C$89,C234)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SUMIFS(RAB!$F$14:$F$89,RAB!$C$14:$C$89,C235)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SUMIFS(RAB!$F$14:$F$89,RAB!$C$14:$C$89,C236)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SUMIFS(RAB!$F$14:$F$89,RAB!$C$14:$C$89,C237)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SUMIFS(RAB!$F$14:$F$89,RAB!$C$14:$C$89,C238)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SUMIFS(RAB!$F$14:$F$89,RAB!$C$14:$C$89,C239)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SUMIFS(RAB!$F$14:$F$89,RAB!$C$14:$C$89,C240)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SUMIFS(RAB!$F$14:$F$89,RAB!$C$14:$C$89,C241)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SUMIFS(RAB!$F$14:$F$89,RAB!$C$14:$C$89,C242)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SUMIFS(RAB!$F$14:$F$89,RAB!$C$14:$C$89,C243)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SUMIFS(RAB!$F$14:$F$89,RAB!$C$14:$C$89,C244)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SUMIFS(RAB!$F$14:$F$89,RAB!$C$14:$C$89,C245)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SUMIFS(RAB!$F$14:$F$89,RAB!$C$14:$C$89,C246)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SUMIFS(RAB!$F$14:$F$89,RAB!$C$14:$C$89,C247)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SUMIFS(RAB!$F$14:$F$89,RAB!$C$14:$C$89,C248)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SUMIFS(RAB!$F$14:$F$89,RAB!$C$14:$C$89,C249)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SUMIFS(RAB!$F$14:$F$89,RAB!$C$14:$C$89,C250)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SUMIFS(RAB!$F$14:$F$89,RAB!$C$14:$C$89,C251)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SUMIFS(RAB!$F$14:$F$89,RAB!$C$14:$C$89,C252)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SUMIFS(RAB!$F$14:$F$89,RAB!$C$14:$C$89,C253)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SUMIFS(RAB!$F$14:$F$89,RAB!$C$14:$C$89,C254)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SUMIFS(RAB!$F$14:$F$89,RAB!$C$14:$C$89,C255)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SUMIFS(RAB!$F$14:$F$89,RAB!$C$14:$C$89,C256)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SUMIFS(RAB!$F$14:$F$89,RAB!$C$14:$C$89,C257)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SUMIFS(RAB!$F$14:$F$89,RAB!$C$14:$C$89,C258)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SUMIFS(RAB!$F$14:$F$89,RAB!$C$14:$C$89,C259)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SUMIFS(RAB!$F$14:$F$89,RAB!$C$14:$C$89,C260)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SUMIFS(RAB!$F$14:$F$89,RAB!$C$14:$C$89,C261)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SUMIFS(RAB!$F$14:$F$89,RAB!$C$14:$C$89,C262)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SUMIFS(RAB!$F$14:$F$89,RAB!$C$14:$C$89,C263)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SUMIFS(RAB!$F$14:$F$89,RAB!$C$14:$C$89,C264)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SUMIFS(RAB!$F$14:$F$89,RAB!$C$14:$C$89,C265)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SUMIFS(RAB!$F$14:$F$89,RAB!$C$14:$C$89,C266)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SUMIFS(RAB!$F$14:$F$89,RAB!$C$14:$C$89,C267)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SUMIFS(RAB!$F$14:$F$89,RAB!$C$14:$C$89,C268)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SUMIFS(RAB!$F$14:$F$89,RAB!$C$14:$C$89,C269)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SUMIFS(RAB!$F$14:$F$89,RAB!$C$14:$C$89,C270)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SUMIFS(RAB!$F$14:$F$89,RAB!$C$14:$C$89,C271)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SUMIFS(RAB!$F$14:$F$89,RAB!$C$14:$C$89,C272)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SUMIFS(RAB!$F$14:$F$89,RAB!$C$14:$C$89,C273)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SUMIFS(RAB!$F$14:$F$89,RAB!$C$14:$C$89,C274)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SUMIFS(RAB!$F$14:$F$89,RAB!$C$14:$C$89,C275)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SUMIFS(RAB!$F$14:$F$89,RAB!$C$14:$C$89,C276)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SUMIFS(RAB!$F$14:$F$89,RAB!$C$14:$C$89,C277)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SUMIFS(RAB!$F$14:$F$89,RAB!$C$14:$C$89,C278)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SUMIFS(RAB!$F$14:$F$89,RAB!$C$14:$C$89,C279)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SUMIFS(RAB!$F$14:$F$89,RAB!$C$14:$C$89,C280)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SUMIFS(RAB!$F$14:$F$89,RAB!$C$14:$C$89,C281)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SUMIFS(RAB!$F$14:$F$89,RAB!$C$14:$C$89,C282)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SUMIFS(RAB!$F$14:$F$89,RAB!$C$14:$C$89,C283)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SUMIFS(RAB!$F$14:$F$89,RAB!$C$14:$C$89,C284)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SUMIFS(RAB!$F$14:$F$89,RAB!$C$14:$C$89,C285)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SUMIFS(RAB!$F$14:$F$89,RAB!$C$14:$C$89,C286)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SUMIFS(RAB!$F$14:$F$89,RAB!$C$14:$C$89,C287)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SUMIFS(RAB!$F$14:$F$89,RAB!$C$14:$C$89,C288)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SUMIFS(RAB!$F$14:$F$89,RAB!$C$14:$C$89,C289)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SUMIFS(RAB!$F$14:$F$89,RAB!$C$14:$C$89,C290)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SUMIFS(RAB!$F$14:$F$89,RAB!$C$14:$C$89,C291)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SUMIFS(RAB!$F$14:$F$89,RAB!$C$14:$C$89,C292)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SUMIFS(RAB!$F$14:$F$89,RAB!$C$14:$C$89,C293)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SUMIFS(RAB!$F$14:$F$89,RAB!$C$14:$C$89,C294)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SUMIFS(RAB!$F$14:$F$89,RAB!$C$14:$C$89,C295)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SUMIFS(RAB!$F$14:$F$89,RAB!$C$14:$C$89,C296)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SUMIFS(RAB!$F$14:$F$89,RAB!$C$14:$C$89,C297)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SUMIFS(RAB!$F$14:$F$89,RAB!$C$14:$C$89,C298)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SUMIFS(RAB!$F$14:$F$89,RAB!$C$14:$C$89,C299)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SUMIFS(RAB!$F$14:$F$89,RAB!$C$14:$C$89,C300)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SUMIFS(RAB!$F$14:$F$89,RAB!$C$14:$C$89,C301)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SUMIFS(RAB!$F$14:$F$89,RAB!$C$14:$C$89,C302)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SUMIFS(RAB!$F$14:$F$89,RAB!$C$14:$C$89,C303)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SUMIFS(RAB!$F$14:$F$89,RAB!$C$14:$C$89,C304)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SUMIFS(RAB!$F$14:$F$89,RAB!$C$14:$C$89,C305)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SUMIFS(RAB!$F$14:$F$89,RAB!$C$14:$C$89,C306)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SUMIFS(RAB!$F$14:$F$89,RAB!$C$14:$C$89,C307)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SUMIFS(RAB!$F$14:$F$89,RAB!$C$14:$C$89,C308)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SUMIFS(RAB!$F$14:$F$89,RAB!$C$14:$C$89,C309)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SUMIFS(RAB!$F$14:$F$89,RAB!$C$14:$C$89,C310)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SUMIFS(RAB!$F$14:$F$89,RAB!$C$14:$C$89,C311)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SUMIFS(RAB!$F$14:$F$89,RAB!$C$14:$C$89,C312)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SUMIFS(RAB!$F$14:$F$89,RAB!$C$14:$C$89,C313)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SUMIFS(RAB!$F$14:$F$89,RAB!$C$14:$C$89,C314)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SUMIFS(RAB!$F$14:$F$89,RAB!$C$14:$C$89,C315)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SUMIFS(RAB!$F$14:$F$89,RAB!$C$14:$C$89,C316)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SUMIFS(RAB!$F$14:$F$89,RAB!$C$14:$C$89,C317)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SUMIFS(RAB!$F$14:$F$89,RAB!$C$14:$C$89,C318)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SUMIFS(RAB!$F$14:$F$89,RAB!$C$14:$C$89,C319)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SUMIFS(RAB!$F$14:$F$89,RAB!$C$14:$C$89,C320)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SUMIFS(RAB!$F$14:$F$89,RAB!$C$14:$C$89,C321)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SUMIFS(RAB!$F$14:$F$89,RAB!$C$14:$C$89,C322)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SUMIFS(RAB!$F$14:$F$89,RAB!$C$14:$C$89,C323)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SUMIFS(RAB!$F$14:$F$89,RAB!$C$14:$C$89,C324)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SUMIFS(RAB!$F$14:$F$89,RAB!$C$14:$C$89,C325)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SUMIFS(RAB!$F$14:$F$89,RAB!$C$14:$C$89,C326)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SUMIFS(RAB!$F$14:$F$89,RAB!$C$14:$C$89,C327)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SUMIFS(RAB!$F$14:$F$89,RAB!$C$14:$C$89,C328)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SUMIFS(RAB!$F$14:$F$89,RAB!$C$14:$C$89,C329)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SUMIFS(RAB!$F$14:$F$89,RAB!$C$14:$C$89,C330)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SUMIFS(RAB!$F$14:$F$89,RAB!$C$14:$C$89,C331)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SUMIFS(RAB!$F$14:$F$89,RAB!$C$14:$C$89,C332)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SUMIFS(RAB!$F$14:$F$89,RAB!$C$14:$C$89,C333)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SUMIFS(RAB!$F$14:$F$89,RAB!$C$14:$C$89,C334)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SUMIFS(RAB!$F$14:$F$89,RAB!$C$14:$C$89,C335)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SUMIFS(RAB!$F$14:$F$89,RAB!$C$14:$C$89,C336)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SUMIFS(RAB!$F$14:$F$89,RAB!$C$14:$C$89,C337)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SUMIFS(RAB!$F$14:$F$89,RAB!$C$14:$C$89,C338)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SUMIFS(RAB!$F$14:$F$89,RAB!$C$14:$C$89,C339)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SUMIFS(RAB!$F$14:$F$89,RAB!$C$14:$C$89,C340)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SUMIFS(RAB!$F$14:$F$89,RAB!$C$14:$C$89,C341)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SUMIFS(RAB!$F$14:$F$89,RAB!$C$14:$C$89,C342)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SUMIFS(RAB!$F$14:$F$89,RAB!$C$14:$C$89,C343)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SUMIFS(RAB!$F$14:$F$89,RAB!$C$14:$C$89,C344)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SUMIFS(RAB!$F$14:$F$89,RAB!$C$14:$C$89,C345)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SUMIFS(RAB!$F$14:$F$89,RAB!$C$14:$C$89,C346)</f>
        <v>100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SUMIFS(RAB!$F$14:$F$89,RAB!$C$14:$C$89,C347)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SUMIFS(RAB!$F$14:$F$89,RAB!$C$14:$C$89,C348)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SUMIFS(RAB!$F$14:$F$89,RAB!$C$14:$C$89,C349)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SUMIFS(RAB!$F$14:$F$89,RAB!$C$14:$C$89,C350)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SUMIFS(RAB!$F$14:$F$89,RAB!$C$14:$C$89,C351)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SUMIFS(RAB!$F$14:$F$89,RAB!$C$14:$C$89,C352)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SUMIFS(RAB!$F$14:$F$89,RAB!$C$14:$C$89,C353)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SUMIFS(RAB!$F$14:$F$89,RAB!$C$14:$C$89,C354)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SUMIFS(RAB!$F$14:$F$89,RAB!$C$14:$C$89,C355)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SUMIFS(RAB!$F$14:$F$89,RAB!$C$14:$C$89,C356)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SUMIFS(RAB!$F$14:$F$89,RAB!$C$14:$C$89,C357)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SUMIFS(RAB!$F$14:$F$89,RAB!$C$14:$C$89,C358)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SUMIFS(RAB!$F$14:$F$89,RAB!$C$14:$C$89,C359)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SUMIFS(RAB!$F$14:$F$89,RAB!$C$14:$C$89,C360)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SUMIFS(RAB!$F$14:$F$89,RAB!$C$14:$C$89,C361)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SUMIFS(RAB!$F$14:$F$89,RAB!$C$14:$C$89,C362)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SUMIFS(RAB!$F$14:$F$89,RAB!$C$14:$C$89,C363)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SUMIFS(RAB!$F$14:$F$89,RAB!$C$14:$C$89,C364)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SUMIFS(RAB!$F$14:$F$89,RAB!$C$14:$C$89,C365)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SUMIFS(RAB!$F$14:$F$89,RAB!$C$14:$C$89,C366)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SUMIFS(RAB!$F$14:$F$89,RAB!$C$14:$C$89,C367)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SUMIFS(RAB!$F$14:$F$89,RAB!$C$14:$C$89,C368)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SUMIFS(RAB!$F$14:$F$89,RAB!$C$14:$C$89,C369)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SUMIFS(RAB!$F$14:$F$89,RAB!$C$14:$C$89,C370)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SUMIFS(RAB!$F$14:$F$89,RAB!$C$14:$C$89,C371)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SUMIFS(RAB!$F$14:$F$89,RAB!$C$14:$C$89,C372)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SUMIFS(RAB!$F$14:$F$89,RAB!$C$14:$C$89,C373)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1604</v>
      </c>
      <c r="G4" s="108" t="s">
        <v>1603</v>
      </c>
      <c r="H4" s="55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3" t="s">
        <v>1454</v>
      </c>
      <c r="C2" s="593"/>
      <c r="D2" s="593"/>
      <c r="E2" s="59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8" t="s">
        <v>1532</v>
      </c>
      <c r="C4" s="599"/>
      <c r="D4" s="599"/>
      <c r="E4" s="600"/>
      <c r="F4" s="440"/>
      <c r="G4" s="440"/>
      <c r="H4" s="441"/>
      <c r="I4" s="562" t="s">
        <v>1533</v>
      </c>
      <c r="J4" s="563"/>
      <c r="K4" s="563"/>
      <c r="L4" s="564"/>
    </row>
    <row r="5" spans="1:12" ht="34.5" customHeight="1">
      <c r="A5" s="204"/>
      <c r="B5" s="443" t="s">
        <v>1379</v>
      </c>
      <c r="C5" s="277" t="s">
        <v>9</v>
      </c>
      <c r="D5" s="594" t="str">
        <f>DATA!D14</f>
        <v>GEDUNG PARIPURNA DPRD DEMAK</v>
      </c>
      <c r="E5" s="595"/>
      <c r="F5" s="208"/>
      <c r="G5" s="208"/>
      <c r="I5" s="444" t="s">
        <v>1379</v>
      </c>
      <c r="J5" s="277" t="s">
        <v>9</v>
      </c>
      <c r="K5" s="565" t="str">
        <f>D5</f>
        <v>GEDUNG PARIPURNA DPRD DEMAK</v>
      </c>
      <c r="L5" s="566"/>
    </row>
    <row r="6" spans="1:12" ht="31.5" customHeight="1">
      <c r="A6" s="204"/>
      <c r="B6" s="443" t="s">
        <v>1529</v>
      </c>
      <c r="C6" s="277" t="s">
        <v>9</v>
      </c>
      <c r="D6" s="603">
        <f>DATA!D17*1000</f>
        <v>41500</v>
      </c>
      <c r="E6" s="604"/>
      <c r="F6" s="208"/>
      <c r="G6" s="208"/>
      <c r="I6" s="444" t="s">
        <v>1530</v>
      </c>
      <c r="J6" s="277" t="s">
        <v>9</v>
      </c>
      <c r="K6" s="567">
        <f>DATA!D20*1000</f>
        <v>66000</v>
      </c>
      <c r="L6" s="568"/>
    </row>
    <row r="7" spans="1:12" ht="30.75" customHeight="1">
      <c r="A7" s="204"/>
      <c r="B7" s="443" t="s">
        <v>1441</v>
      </c>
      <c r="C7" s="277" t="s">
        <v>9</v>
      </c>
      <c r="D7" s="601">
        <f>DATA!D18</f>
        <v>3</v>
      </c>
      <c r="E7" s="602"/>
      <c r="F7" s="442" t="s">
        <v>1453</v>
      </c>
      <c r="I7" s="444" t="s">
        <v>1441</v>
      </c>
      <c r="J7" s="277" t="s">
        <v>9</v>
      </c>
      <c r="K7" s="569">
        <f>DATA!D21</f>
        <v>3</v>
      </c>
      <c r="L7" s="570"/>
    </row>
    <row r="8" spans="1:12" ht="51" customHeight="1">
      <c r="A8" s="204"/>
      <c r="B8" s="443" t="s">
        <v>1442</v>
      </c>
      <c r="C8" s="277" t="s">
        <v>9</v>
      </c>
      <c r="D8" s="601">
        <f>DATA!D19</f>
        <v>380</v>
      </c>
      <c r="E8" s="602"/>
      <c r="F8" s="442" t="s">
        <v>1453</v>
      </c>
      <c r="G8" s="437">
        <v>220</v>
      </c>
      <c r="I8" s="444" t="s">
        <v>1442</v>
      </c>
      <c r="J8" s="277" t="s">
        <v>9</v>
      </c>
      <c r="K8" s="569">
        <f>DATA!D22</f>
        <v>380</v>
      </c>
      <c r="L8" s="570"/>
    </row>
    <row r="9" spans="1:12" ht="30" customHeight="1" thickBot="1">
      <c r="A9" s="204"/>
      <c r="B9" s="449" t="s">
        <v>1541</v>
      </c>
      <c r="C9" s="439" t="s">
        <v>9</v>
      </c>
      <c r="D9" s="596">
        <f>IF(D7=1,D6/(380/3^0.5),(D6/(380*3^0.5)))</f>
        <v>63.052726766761765</v>
      </c>
      <c r="E9" s="597"/>
      <c r="F9" s="207"/>
      <c r="G9" s="438">
        <v>380</v>
      </c>
      <c r="I9" s="450" t="s">
        <v>1541</v>
      </c>
      <c r="J9" s="439" t="s">
        <v>9</v>
      </c>
      <c r="K9" s="573">
        <f>IF(K7=1,K6/(380/3^0.5),(K6/(380*3^0.5)))</f>
        <v>100.27662570135607</v>
      </c>
      <c r="L9" s="574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5"/>
      <c r="E12" s="606"/>
      <c r="F12" s="208"/>
      <c r="G12" s="208"/>
      <c r="I12" s="466" t="s">
        <v>1534</v>
      </c>
      <c r="J12" s="467" t="s">
        <v>9</v>
      </c>
      <c r="K12" s="605"/>
      <c r="L12" s="606"/>
    </row>
    <row r="13" spans="1:12" ht="31.5" customHeight="1">
      <c r="A13" s="204"/>
      <c r="B13" s="474" t="s">
        <v>1380</v>
      </c>
      <c r="C13" s="454" t="s">
        <v>9</v>
      </c>
      <c r="D13" s="571"/>
      <c r="E13" s="572"/>
      <c r="F13" s="208"/>
      <c r="G13" s="208"/>
      <c r="I13" s="468" t="s">
        <v>1380</v>
      </c>
      <c r="J13" s="454" t="s">
        <v>9</v>
      </c>
      <c r="K13" s="571"/>
      <c r="L13" s="572"/>
    </row>
    <row r="14" spans="1:12" ht="30.75" customHeight="1">
      <c r="A14" s="204"/>
      <c r="B14" s="474" t="s">
        <v>1535</v>
      </c>
      <c r="C14" s="454" t="s">
        <v>9</v>
      </c>
      <c r="D14" s="575">
        <v>50</v>
      </c>
      <c r="E14" s="576"/>
      <c r="F14" s="442" t="s">
        <v>1453</v>
      </c>
      <c r="G14" s="446">
        <v>50</v>
      </c>
      <c r="I14" s="468" t="s">
        <v>1535</v>
      </c>
      <c r="J14" s="454" t="s">
        <v>9</v>
      </c>
      <c r="K14" s="577">
        <v>50</v>
      </c>
      <c r="L14" s="578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9">
        <f>63+10</f>
        <v>73</v>
      </c>
      <c r="E16" s="580"/>
      <c r="F16" s="442"/>
      <c r="G16" s="446">
        <v>160</v>
      </c>
      <c r="I16" s="468" t="s">
        <v>1537</v>
      </c>
      <c r="J16" s="454" t="s">
        <v>9</v>
      </c>
      <c r="K16" s="583">
        <f>K9</f>
        <v>100.27662570135607</v>
      </c>
      <c r="L16" s="584"/>
    </row>
    <row r="17" spans="1:12" ht="34.5" customHeight="1">
      <c r="A17" s="204"/>
      <c r="B17" s="474" t="s">
        <v>1538</v>
      </c>
      <c r="C17" s="454" t="s">
        <v>9</v>
      </c>
      <c r="D17" s="581">
        <f>IF(D15=1,D14/(20/3^0.5),(D14/(20*3^0.5)))</f>
        <v>1.4433756729740645</v>
      </c>
      <c r="E17" s="582"/>
      <c r="F17" s="442" t="s">
        <v>1453</v>
      </c>
      <c r="G17" s="447">
        <v>200</v>
      </c>
      <c r="I17" s="468" t="s">
        <v>1538</v>
      </c>
      <c r="J17" s="454" t="s">
        <v>9</v>
      </c>
      <c r="K17" s="587">
        <f>IF(K15=1,K14/(20/3^0.5),(K14/(20*3^0.5)))</f>
        <v>1.4433756729740645</v>
      </c>
      <c r="L17" s="588"/>
    </row>
    <row r="18" spans="1:12" ht="34.5" customHeight="1">
      <c r="A18" s="204"/>
      <c r="B18" s="474" t="s">
        <v>1539</v>
      </c>
      <c r="C18" s="454" t="s">
        <v>9</v>
      </c>
      <c r="D18" s="581">
        <f>IF(D15=1,D14/(380/3^0.5),(D14/(380*3^0.5)))*1000</f>
        <v>75.96714068284551</v>
      </c>
      <c r="E18" s="582"/>
      <c r="F18" s="442" t="s">
        <v>1453</v>
      </c>
      <c r="G18" s="447">
        <v>250</v>
      </c>
      <c r="I18" s="468" t="s">
        <v>1539</v>
      </c>
      <c r="J18" s="454" t="s">
        <v>9</v>
      </c>
      <c r="K18" s="587">
        <f>IF(K15=1,K14/(380/3^0.5),(K14/(380*3^0.5)))*1000</f>
        <v>75.96714068284551</v>
      </c>
      <c r="L18" s="588"/>
    </row>
    <row r="19" spans="1:12" ht="30" customHeight="1">
      <c r="A19" s="204"/>
      <c r="B19" s="475" t="s">
        <v>1531</v>
      </c>
      <c r="C19" s="453" t="s">
        <v>9</v>
      </c>
      <c r="D19" s="581">
        <f>IF(D15=1,D14/(380/3^0.5),(D14/(380*3^0.5)))</f>
        <v>7.5967140682845505E-2</v>
      </c>
      <c r="E19" s="582"/>
      <c r="F19" s="207"/>
      <c r="G19" s="438"/>
      <c r="I19" s="470" t="s">
        <v>1531</v>
      </c>
      <c r="J19" s="453" t="s">
        <v>9</v>
      </c>
      <c r="K19" s="587">
        <f>IF(K15=1,K14/(380/3^0.5),(K14/(380*3^0.5)))</f>
        <v>7.5967140682845505E-2</v>
      </c>
      <c r="L19" s="588"/>
    </row>
    <row r="20" spans="1:12" ht="30" customHeight="1" thickBot="1">
      <c r="A20" s="204"/>
      <c r="B20" s="476" t="s">
        <v>1540</v>
      </c>
      <c r="C20" s="472" t="s">
        <v>9</v>
      </c>
      <c r="D20" s="607">
        <f>D16/D18</f>
        <v>0.96094178803921293</v>
      </c>
      <c r="E20" s="608"/>
      <c r="F20" s="207"/>
      <c r="G20" s="438"/>
      <c r="I20" s="471" t="s">
        <v>1531</v>
      </c>
      <c r="J20" s="472" t="s">
        <v>9</v>
      </c>
      <c r="K20" s="585">
        <f>K16/K18</f>
        <v>1.3199999999999998</v>
      </c>
      <c r="L20" s="586"/>
    </row>
    <row r="21" spans="1:12" ht="9.75" customHeight="1">
      <c r="A21" s="204"/>
      <c r="B21" s="461" t="s">
        <v>1540</v>
      </c>
      <c r="C21" s="462" t="s">
        <v>9</v>
      </c>
      <c r="D21" s="592">
        <v>1</v>
      </c>
      <c r="E21" s="592"/>
      <c r="F21" s="463"/>
      <c r="G21" s="464"/>
      <c r="H21" s="465"/>
      <c r="I21" s="461" t="s">
        <v>1531</v>
      </c>
      <c r="J21" s="462" t="s">
        <v>9</v>
      </c>
      <c r="K21" s="592">
        <v>1</v>
      </c>
      <c r="L21" s="592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5" zoomScaleNormal="100" workbookViewId="0">
      <selection activeCell="D14" sqref="D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24.5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23740500</v>
      </c>
    </row>
    <row r="10" spans="2:11" ht="20.100000000000001" customHeight="1">
      <c r="B10" s="291" t="s">
        <v>1446</v>
      </c>
      <c r="C10" s="292" t="s">
        <v>9</v>
      </c>
      <c r="D10" s="298">
        <f ca="1">RAB!K95</f>
        <v>86646233.966400012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1732924.6793280002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1626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1627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41.5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66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L39" sqref="L3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GEDUNG PARIPURNA DPRD DEMAK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6" t="s">
        <v>1359</v>
      </c>
      <c r="E5" s="616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4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980</v>
      </c>
      <c r="D7" s="316">
        <f>C7*4/24</f>
        <v>163.33333333333334</v>
      </c>
      <c r="E7" s="316">
        <f>C7-D7</f>
        <v>816.66666666666663</v>
      </c>
      <c r="F7" s="317">
        <f ca="1">DATA!D10/1000000</f>
        <v>86.646233966400018</v>
      </c>
      <c r="G7" s="318">
        <f ca="1">DATA!$D$11/1000000</f>
        <v>1.7329246793280002</v>
      </c>
      <c r="H7" s="318">
        <f>C7*DATA!$D$5/1000000</f>
        <v>1.0624425449688524</v>
      </c>
      <c r="I7" s="318">
        <f>(C7*DATA!$D$5*DATA!$D$7)/1000000</f>
        <v>2.3904957261799177E-2</v>
      </c>
      <c r="J7" s="316">
        <f ca="1">SUM(F7:I7)</f>
        <v>89.465506147958664</v>
      </c>
      <c r="K7" s="319">
        <f>DATA!D9/1000000</f>
        <v>23.740500000000001</v>
      </c>
      <c r="L7" s="316">
        <f>((D7*DATA!$D$23)/1000000)+((E7*DATA!$D$24)/1000000)</f>
        <v>1.4158059999999999</v>
      </c>
      <c r="M7" s="316">
        <f>K7+L7</f>
        <v>25.156306000000001</v>
      </c>
      <c r="N7" s="316">
        <f ca="1">M7-J7</f>
        <v>-64.309200147958663</v>
      </c>
      <c r="O7" s="314">
        <v>1</v>
      </c>
      <c r="P7" s="316">
        <f ca="1">O7*N7</f>
        <v>-64.309200147958663</v>
      </c>
      <c r="Q7" s="316">
        <f ca="1">P7</f>
        <v>-64.309200147958663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11760</v>
      </c>
      <c r="D8" s="316">
        <f>C8*4/24</f>
        <v>1960</v>
      </c>
      <c r="E8" s="316">
        <f t="shared" ref="E8:E32" si="0">C8-D8</f>
        <v>9800</v>
      </c>
      <c r="F8" s="314"/>
      <c r="G8" s="318">
        <f ca="1">DATA!$D$11/1000000</f>
        <v>1.7329246793280002</v>
      </c>
      <c r="H8" s="318">
        <f>C8*DATA!$D$5/1000000</f>
        <v>12.749310539626229</v>
      </c>
      <c r="I8" s="318">
        <f>(C8*DATA!$D$5*DATA!$D$7)/1000000</f>
        <v>0.28685948714159015</v>
      </c>
      <c r="J8" s="316">
        <f t="shared" ref="J8:J32" ca="1" si="1">SUM(F8:I8)</f>
        <v>14.769094706095821</v>
      </c>
      <c r="K8" s="321"/>
      <c r="L8" s="316">
        <f>((D8*DATA!$D$23)/1000000)+((E8*DATA!$D$24)/1000000)</f>
        <v>16.989671999999999</v>
      </c>
      <c r="M8" s="316">
        <f t="shared" ref="M8:M32" si="2">K8+L8</f>
        <v>16.989671999999999</v>
      </c>
      <c r="N8" s="316">
        <f ca="1">M8-J8</f>
        <v>2.2205772939041779</v>
      </c>
      <c r="O8" s="315">
        <f>1/(1+'[93]Asumsi I'!$C$3)^(KKF!A8)</f>
        <v>0.89285714285714279</v>
      </c>
      <c r="P8" s="316">
        <f ca="1">O8*N8</f>
        <v>1.9826582981287302</v>
      </c>
      <c r="Q8" s="316">
        <f ca="1">Q7+P8</f>
        <v>-62.32654184982993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11760</v>
      </c>
      <c r="D9" s="316">
        <f t="shared" ref="D9:D32" si="5">C9*4/24</f>
        <v>1960</v>
      </c>
      <c r="E9" s="316">
        <f t="shared" si="0"/>
        <v>9800</v>
      </c>
      <c r="F9" s="314"/>
      <c r="G9" s="318">
        <f ca="1">DATA!$D$11/1000000</f>
        <v>1.7329246793280002</v>
      </c>
      <c r="H9" s="318">
        <f>C9*DATA!$D$5/1000000</f>
        <v>12.749310539626229</v>
      </c>
      <c r="I9" s="318">
        <f>(C9*DATA!$D$5*DATA!$D$7)/1000000</f>
        <v>0.28685948714159015</v>
      </c>
      <c r="J9" s="316">
        <f t="shared" ca="1" si="1"/>
        <v>14.769094706095821</v>
      </c>
      <c r="K9" s="316"/>
      <c r="L9" s="316">
        <f>((D9*DATA!$D$23)/1000000)+((E9*DATA!$D$24)/1000000)</f>
        <v>16.989671999999999</v>
      </c>
      <c r="M9" s="316">
        <f t="shared" si="2"/>
        <v>16.989671999999999</v>
      </c>
      <c r="N9" s="316">
        <f t="shared" ref="N9:N32" ca="1" si="6">M9-J9</f>
        <v>2.2205772939041779</v>
      </c>
      <c r="O9" s="322">
        <f>1/(1+'[93]Asumsi I'!$C$3)^(KKF!A9)</f>
        <v>0.79719387755102034</v>
      </c>
      <c r="P9" s="316">
        <f t="shared" ref="P9:P32" ca="1" si="7">O9*N9</f>
        <v>1.7702306233292233</v>
      </c>
      <c r="Q9" s="316">
        <f ca="1">Q8+P9</f>
        <v>-60.556311226500704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11760</v>
      </c>
      <c r="D10" s="316">
        <f t="shared" si="5"/>
        <v>1960</v>
      </c>
      <c r="E10" s="316">
        <f t="shared" si="0"/>
        <v>9800</v>
      </c>
      <c r="F10" s="314"/>
      <c r="G10" s="318">
        <f ca="1">DATA!$D$11/1000000</f>
        <v>1.7329246793280002</v>
      </c>
      <c r="H10" s="318">
        <f>C10*DATA!$D$5/1000000</f>
        <v>12.749310539626229</v>
      </c>
      <c r="I10" s="318">
        <f>(C10*DATA!$D$5*DATA!$D$7)/1000000</f>
        <v>0.28685948714159015</v>
      </c>
      <c r="J10" s="316">
        <f t="shared" ca="1" si="1"/>
        <v>14.769094706095821</v>
      </c>
      <c r="K10" s="314"/>
      <c r="L10" s="316">
        <f>((D10*DATA!$D$23)/1000000)+((E10*DATA!$D$24)/1000000)</f>
        <v>16.989671999999999</v>
      </c>
      <c r="M10" s="316">
        <f t="shared" si="2"/>
        <v>16.989671999999999</v>
      </c>
      <c r="N10" s="316">
        <f t="shared" ca="1" si="6"/>
        <v>2.2205772939041779</v>
      </c>
      <c r="O10" s="315">
        <f>1/(1+'[93]Asumsi I'!$C$3)^(KKF!A10)</f>
        <v>0.71178024781341087</v>
      </c>
      <c r="P10" s="316">
        <f t="shared" ca="1" si="7"/>
        <v>1.580563056543949</v>
      </c>
      <c r="Q10" s="316">
        <f t="shared" ref="Q10:Q30" ca="1" si="9">Q9+P10</f>
        <v>-58.975748169956752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11760</v>
      </c>
      <c r="D11" s="316">
        <f t="shared" si="5"/>
        <v>1960</v>
      </c>
      <c r="E11" s="316">
        <f t="shared" si="0"/>
        <v>9800</v>
      </c>
      <c r="F11" s="314"/>
      <c r="G11" s="318">
        <f ca="1">DATA!$D$11/1000000</f>
        <v>1.7329246793280002</v>
      </c>
      <c r="H11" s="318">
        <f>C11*DATA!$D$5/1000000</f>
        <v>12.749310539626229</v>
      </c>
      <c r="I11" s="318">
        <f>(C11*DATA!$D$5*DATA!$D$7)/1000000</f>
        <v>0.28685948714159015</v>
      </c>
      <c r="J11" s="316">
        <f t="shared" ca="1" si="1"/>
        <v>14.769094706095821</v>
      </c>
      <c r="K11" s="314"/>
      <c r="L11" s="316">
        <f>((D11*DATA!$D$23)/1000000)+((E11*DATA!$D$24)/1000000)</f>
        <v>16.989671999999999</v>
      </c>
      <c r="M11" s="316">
        <f t="shared" si="2"/>
        <v>16.989671999999999</v>
      </c>
      <c r="N11" s="316">
        <f t="shared" ca="1" si="6"/>
        <v>2.2205772939041779</v>
      </c>
      <c r="O11" s="315">
        <f>1/(1+'[93]Asumsi I'!$C$3)^(KKF!A11)</f>
        <v>0.63551807840483121</v>
      </c>
      <c r="P11" s="316">
        <f t="shared" ca="1" si="7"/>
        <v>1.4112170147713832</v>
      </c>
      <c r="Q11" s="316">
        <f t="shared" ca="1" si="9"/>
        <v>-57.564531155185371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11760</v>
      </c>
      <c r="D12" s="316">
        <f t="shared" si="5"/>
        <v>1960</v>
      </c>
      <c r="E12" s="316">
        <f t="shared" si="0"/>
        <v>9800</v>
      </c>
      <c r="F12" s="314"/>
      <c r="G12" s="318">
        <f ca="1">DATA!$D$11/1000000</f>
        <v>1.7329246793280002</v>
      </c>
      <c r="H12" s="318">
        <f>C12*DATA!$D$5/1000000</f>
        <v>12.749310539626229</v>
      </c>
      <c r="I12" s="318">
        <f>(C12*DATA!$D$5*DATA!$D$7)/1000000</f>
        <v>0.28685948714159015</v>
      </c>
      <c r="J12" s="316">
        <f t="shared" ca="1" si="1"/>
        <v>14.769094706095821</v>
      </c>
      <c r="K12" s="314"/>
      <c r="L12" s="316">
        <f>((D12*DATA!$D$23)/1000000)+((E12*DATA!$D$24)/1000000)</f>
        <v>16.989671999999999</v>
      </c>
      <c r="M12" s="316">
        <f t="shared" si="2"/>
        <v>16.989671999999999</v>
      </c>
      <c r="N12" s="316">
        <f t="shared" ca="1" si="6"/>
        <v>2.2205772939041779</v>
      </c>
      <c r="O12" s="315">
        <f>1/(1+'[93]Asumsi I'!$C$3)^(KKF!A12)</f>
        <v>0.56742685571859919</v>
      </c>
      <c r="P12" s="316">
        <f t="shared" ca="1" si="7"/>
        <v>1.2600151917601634</v>
      </c>
      <c r="Q12" s="316">
        <f t="shared" ca="1" si="9"/>
        <v>-56.30451596342521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11760</v>
      </c>
      <c r="D13" s="316">
        <f t="shared" si="5"/>
        <v>1960</v>
      </c>
      <c r="E13" s="316">
        <f t="shared" si="0"/>
        <v>9800</v>
      </c>
      <c r="F13" s="314"/>
      <c r="G13" s="318">
        <f ca="1">DATA!$D$11/1000000</f>
        <v>1.7329246793280002</v>
      </c>
      <c r="H13" s="318">
        <f>C13*DATA!$D$5/1000000</f>
        <v>12.749310539626229</v>
      </c>
      <c r="I13" s="318">
        <f>(C13*DATA!$D$5*DATA!$D$7)/1000000</f>
        <v>0.28685948714159015</v>
      </c>
      <c r="J13" s="316">
        <f t="shared" ca="1" si="1"/>
        <v>14.769094706095821</v>
      </c>
      <c r="K13" s="314"/>
      <c r="L13" s="316">
        <f>((D13*DATA!$D$23)/1000000)+((E13*DATA!$D$24)/1000000)</f>
        <v>16.989671999999999</v>
      </c>
      <c r="M13" s="316">
        <f t="shared" si="2"/>
        <v>16.989671999999999</v>
      </c>
      <c r="N13" s="316">
        <f t="shared" ca="1" si="6"/>
        <v>2.2205772939041779</v>
      </c>
      <c r="O13" s="315">
        <f>1/(1+'[93]Asumsi I'!$C$3)^(KKF!A13)</f>
        <v>0.50663112117732068</v>
      </c>
      <c r="P13" s="316">
        <f t="shared" ca="1" si="7"/>
        <v>1.1250135640715744</v>
      </c>
      <c r="Q13" s="316">
        <f t="shared" ca="1" si="9"/>
        <v>-55.179502399353638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11760</v>
      </c>
      <c r="D14" s="316">
        <f t="shared" si="5"/>
        <v>1960</v>
      </c>
      <c r="E14" s="316">
        <f t="shared" si="0"/>
        <v>9800</v>
      </c>
      <c r="F14" s="314"/>
      <c r="G14" s="318">
        <f ca="1">DATA!$D$11/1000000</f>
        <v>1.7329246793280002</v>
      </c>
      <c r="H14" s="318">
        <f>C14*DATA!$D$5/1000000</f>
        <v>12.749310539626229</v>
      </c>
      <c r="I14" s="318">
        <f>(C14*DATA!$D$5*DATA!$D$7)/1000000</f>
        <v>0.28685948714159015</v>
      </c>
      <c r="J14" s="316">
        <f t="shared" ca="1" si="1"/>
        <v>14.769094706095821</v>
      </c>
      <c r="K14" s="314"/>
      <c r="L14" s="316">
        <f>((D14*DATA!$D$23)/1000000)+((E14*DATA!$D$24)/1000000)</f>
        <v>16.989671999999999</v>
      </c>
      <c r="M14" s="316">
        <f t="shared" si="2"/>
        <v>16.989671999999999</v>
      </c>
      <c r="N14" s="316">
        <f t="shared" ca="1" si="6"/>
        <v>2.2205772939041779</v>
      </c>
      <c r="O14" s="315">
        <f>1/(1+'[93]Asumsi I'!$C$3)^(KKF!A14)</f>
        <v>0.45234921533689343</v>
      </c>
      <c r="P14" s="316">
        <f t="shared" ca="1" si="7"/>
        <v>1.004476396492477</v>
      </c>
      <c r="Q14" s="316">
        <f t="shared" ca="1" si="9"/>
        <v>-54.175026002861159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11760</v>
      </c>
      <c r="D15" s="316">
        <f t="shared" si="5"/>
        <v>1960</v>
      </c>
      <c r="E15" s="316">
        <f t="shared" si="0"/>
        <v>9800</v>
      </c>
      <c r="F15" s="314"/>
      <c r="G15" s="318">
        <f ca="1">DATA!$D$11/1000000</f>
        <v>1.7329246793280002</v>
      </c>
      <c r="H15" s="318">
        <f>C15*DATA!$D$5/1000000</f>
        <v>12.749310539626229</v>
      </c>
      <c r="I15" s="318">
        <f>(C15*DATA!$D$5*DATA!$D$7)/1000000</f>
        <v>0.28685948714159015</v>
      </c>
      <c r="J15" s="316">
        <f t="shared" ca="1" si="1"/>
        <v>14.769094706095821</v>
      </c>
      <c r="K15" s="314"/>
      <c r="L15" s="316">
        <f>((D15*DATA!$D$23)/1000000)+((E15*DATA!$D$24)/1000000)</f>
        <v>16.989671999999999</v>
      </c>
      <c r="M15" s="316">
        <f t="shared" si="2"/>
        <v>16.989671999999999</v>
      </c>
      <c r="N15" s="316">
        <f t="shared" ca="1" si="6"/>
        <v>2.2205772939041779</v>
      </c>
      <c r="O15" s="315">
        <f>1/(1+'[93]Asumsi I'!$C$3)^(KKF!A15)</f>
        <v>0.4038832279793691</v>
      </c>
      <c r="P15" s="316">
        <f t="shared" ca="1" si="7"/>
        <v>0.89685392543971154</v>
      </c>
      <c r="Q15" s="316">
        <f t="shared" ca="1" si="9"/>
        <v>-53.278172077421445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11760</v>
      </c>
      <c r="D16" s="316">
        <f t="shared" si="5"/>
        <v>1960</v>
      </c>
      <c r="E16" s="316">
        <f t="shared" si="0"/>
        <v>9800</v>
      </c>
      <c r="F16" s="314"/>
      <c r="G16" s="318">
        <f ca="1">DATA!$D$11/1000000</f>
        <v>1.7329246793280002</v>
      </c>
      <c r="H16" s="318">
        <f>C16*DATA!$D$5/1000000</f>
        <v>12.749310539626229</v>
      </c>
      <c r="I16" s="318">
        <f>(C16*DATA!$D$5*DATA!$D$7)/1000000</f>
        <v>0.28685948714159015</v>
      </c>
      <c r="J16" s="316">
        <f t="shared" ca="1" si="1"/>
        <v>14.769094706095821</v>
      </c>
      <c r="K16" s="314"/>
      <c r="L16" s="316">
        <f>((D16*DATA!$D$23)/1000000)+((E16*DATA!$D$24)/1000000)</f>
        <v>16.989671999999999</v>
      </c>
      <c r="M16" s="316">
        <f t="shared" si="2"/>
        <v>16.989671999999999</v>
      </c>
      <c r="N16" s="316">
        <f t="shared" ca="1" si="6"/>
        <v>2.2205772939041779</v>
      </c>
      <c r="O16" s="315">
        <f>1/(1+'[93]Asumsi I'!$C$3)^(KKF!A16)</f>
        <v>0.36061002498157957</v>
      </c>
      <c r="P16" s="316">
        <f t="shared" ca="1" si="7"/>
        <v>0.80076243342831399</v>
      </c>
      <c r="Q16" s="316">
        <f t="shared" ca="1" si="9"/>
        <v>-52.477409643993134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11760</v>
      </c>
      <c r="D17" s="316">
        <f t="shared" si="5"/>
        <v>1960</v>
      </c>
      <c r="E17" s="316">
        <f t="shared" si="0"/>
        <v>9800</v>
      </c>
      <c r="F17" s="314"/>
      <c r="G17" s="318">
        <f ca="1">DATA!$D$11/1000000</f>
        <v>1.7329246793280002</v>
      </c>
      <c r="H17" s="318">
        <f>C17*DATA!$D$5/1000000</f>
        <v>12.749310539626229</v>
      </c>
      <c r="I17" s="318">
        <f>(C17*DATA!$D$5*DATA!$D$7)/1000000</f>
        <v>0.28685948714159015</v>
      </c>
      <c r="J17" s="316">
        <f t="shared" ca="1" si="1"/>
        <v>14.769094706095821</v>
      </c>
      <c r="K17" s="314"/>
      <c r="L17" s="316">
        <f>((D17*DATA!$D$23)/1000000)+((E17*DATA!$D$24)/1000000)</f>
        <v>16.989671999999999</v>
      </c>
      <c r="M17" s="316">
        <f t="shared" si="2"/>
        <v>16.989671999999999</v>
      </c>
      <c r="N17" s="316">
        <f t="shared" ca="1" si="6"/>
        <v>2.2205772939041779</v>
      </c>
      <c r="O17" s="315">
        <f>1/(1+'[93]Asumsi I'!$C$3)^(KKF!A17)</f>
        <v>0.32197323659069599</v>
      </c>
      <c r="P17" s="316">
        <f t="shared" ca="1" si="7"/>
        <v>0.71496645841813733</v>
      </c>
      <c r="Q17" s="316">
        <f t="shared" ca="1" si="9"/>
        <v>-51.762443185574995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11760</v>
      </c>
      <c r="D18" s="316">
        <f t="shared" si="5"/>
        <v>1960</v>
      </c>
      <c r="E18" s="316">
        <f t="shared" si="0"/>
        <v>9800</v>
      </c>
      <c r="F18" s="314"/>
      <c r="G18" s="318">
        <f ca="1">DATA!$D$11/1000000</f>
        <v>1.7329246793280002</v>
      </c>
      <c r="H18" s="318">
        <f>C18*DATA!$D$5/1000000</f>
        <v>12.749310539626229</v>
      </c>
      <c r="I18" s="318">
        <f>(C18*DATA!$D$5*DATA!$D$7)/1000000</f>
        <v>0.28685948714159015</v>
      </c>
      <c r="J18" s="316">
        <f t="shared" ca="1" si="1"/>
        <v>14.769094706095821</v>
      </c>
      <c r="K18" s="314"/>
      <c r="L18" s="316">
        <f>((D18*DATA!$D$23)/1000000)+((E18*DATA!$D$24)/1000000)</f>
        <v>16.989671999999999</v>
      </c>
      <c r="M18" s="316">
        <f t="shared" si="2"/>
        <v>16.989671999999999</v>
      </c>
      <c r="N18" s="316">
        <f t="shared" ca="1" si="6"/>
        <v>2.2205772939041779</v>
      </c>
      <c r="O18" s="315">
        <f>1/(1+'[93]Asumsi I'!$C$3)^(KKF!A18)</f>
        <v>0.28747610409883567</v>
      </c>
      <c r="P18" s="316">
        <f t="shared" ca="1" si="7"/>
        <v>0.63836290930190831</v>
      </c>
      <c r="Q18" s="316">
        <f t="shared" ca="1" si="9"/>
        <v>-51.124080276273084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11760</v>
      </c>
      <c r="D19" s="316">
        <f t="shared" si="5"/>
        <v>1960</v>
      </c>
      <c r="E19" s="316">
        <f t="shared" si="0"/>
        <v>9800</v>
      </c>
      <c r="F19" s="314"/>
      <c r="G19" s="318">
        <f ca="1">DATA!$D$11/1000000</f>
        <v>1.7329246793280002</v>
      </c>
      <c r="H19" s="318">
        <f>C19*DATA!$D$5/1000000</f>
        <v>12.749310539626229</v>
      </c>
      <c r="I19" s="318">
        <f>(C19*DATA!$D$5*DATA!$D$7)/1000000</f>
        <v>0.28685948714159015</v>
      </c>
      <c r="J19" s="316">
        <f t="shared" ca="1" si="1"/>
        <v>14.769094706095821</v>
      </c>
      <c r="K19" s="314"/>
      <c r="L19" s="316">
        <f>((D19*DATA!$D$23)/1000000)+((E19*DATA!$D$24)/1000000)</f>
        <v>16.989671999999999</v>
      </c>
      <c r="M19" s="316">
        <f t="shared" si="2"/>
        <v>16.989671999999999</v>
      </c>
      <c r="N19" s="316">
        <f t="shared" ca="1" si="6"/>
        <v>2.2205772939041779</v>
      </c>
      <c r="O19" s="315">
        <f>1/(1+'[93]Asumsi I'!$C$3)^(KKF!A19)</f>
        <v>0.25667509294538904</v>
      </c>
      <c r="P19" s="316">
        <f t="shared" ca="1" si="7"/>
        <v>0.56996688330527534</v>
      </c>
      <c r="Q19" s="316">
        <f t="shared" ca="1" si="9"/>
        <v>-50.554113392967807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11760</v>
      </c>
      <c r="D20" s="316">
        <f t="shared" si="5"/>
        <v>1960</v>
      </c>
      <c r="E20" s="316">
        <f t="shared" si="0"/>
        <v>9800</v>
      </c>
      <c r="F20" s="314"/>
      <c r="G20" s="318">
        <f ca="1">DATA!$D$11/1000000</f>
        <v>1.7329246793280002</v>
      </c>
      <c r="H20" s="318">
        <f>C20*DATA!$D$5/1000000</f>
        <v>12.749310539626229</v>
      </c>
      <c r="I20" s="318">
        <f>(C20*DATA!$D$5*DATA!$D$7)/1000000</f>
        <v>0.28685948714159015</v>
      </c>
      <c r="J20" s="316">
        <f t="shared" ca="1" si="1"/>
        <v>14.769094706095821</v>
      </c>
      <c r="K20" s="314"/>
      <c r="L20" s="316">
        <f>((D20*DATA!$D$23)/1000000)+((E20*DATA!$D$24)/1000000)</f>
        <v>16.989671999999999</v>
      </c>
      <c r="M20" s="316">
        <f t="shared" si="2"/>
        <v>16.989671999999999</v>
      </c>
      <c r="N20" s="316">
        <f t="shared" ca="1" si="6"/>
        <v>2.2205772939041779</v>
      </c>
      <c r="O20" s="315">
        <f>1/(1+'[93]Asumsi I'!$C$3)^(KKF!A20)</f>
        <v>0.22917419012981158</v>
      </c>
      <c r="P20" s="316">
        <f t="shared" ca="1" si="7"/>
        <v>0.50889900295113855</v>
      </c>
      <c r="Q20" s="316">
        <f t="shared" ca="1" si="9"/>
        <v>-50.045214390016667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11760</v>
      </c>
      <c r="D21" s="316">
        <f t="shared" si="5"/>
        <v>1960</v>
      </c>
      <c r="E21" s="316">
        <f t="shared" si="0"/>
        <v>9800</v>
      </c>
      <c r="F21" s="314"/>
      <c r="G21" s="318">
        <f ca="1">DATA!$D$11/1000000</f>
        <v>1.7329246793280002</v>
      </c>
      <c r="H21" s="318">
        <f>C21*DATA!$D$5/1000000</f>
        <v>12.749310539626229</v>
      </c>
      <c r="I21" s="318">
        <f>(C21*DATA!$D$5*DATA!$D$7)/1000000</f>
        <v>0.28685948714159015</v>
      </c>
      <c r="J21" s="316">
        <f t="shared" ca="1" si="1"/>
        <v>14.769094706095821</v>
      </c>
      <c r="K21" s="314"/>
      <c r="L21" s="316">
        <f>((D21*DATA!$D$23)/1000000)+((E21*DATA!$D$24)/1000000)</f>
        <v>16.989671999999999</v>
      </c>
      <c r="M21" s="316">
        <f t="shared" si="2"/>
        <v>16.989671999999999</v>
      </c>
      <c r="N21" s="316">
        <f t="shared" ca="1" si="6"/>
        <v>2.2205772939041779</v>
      </c>
      <c r="O21" s="315">
        <f>1/(1+'[93]Asumsi I'!$C$3)^(KKF!A21)</f>
        <v>0.20461981261590317</v>
      </c>
      <c r="P21" s="316">
        <f t="shared" ca="1" si="7"/>
        <v>0.45437410977780224</v>
      </c>
      <c r="Q21" s="316">
        <f t="shared" ca="1" si="9"/>
        <v>-49.590840280238865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11760</v>
      </c>
      <c r="D22" s="316">
        <f t="shared" si="5"/>
        <v>1960</v>
      </c>
      <c r="E22" s="316">
        <f t="shared" si="0"/>
        <v>9800</v>
      </c>
      <c r="F22" s="314"/>
      <c r="G22" s="318">
        <f ca="1">DATA!$D$11/1000000</f>
        <v>1.7329246793280002</v>
      </c>
      <c r="H22" s="318">
        <f>C22*DATA!$D$5/1000000</f>
        <v>12.749310539626229</v>
      </c>
      <c r="I22" s="318">
        <f>(C22*DATA!$D$5*DATA!$D$7)/1000000</f>
        <v>0.28685948714159015</v>
      </c>
      <c r="J22" s="316">
        <f t="shared" ca="1" si="1"/>
        <v>14.769094706095821</v>
      </c>
      <c r="K22" s="314"/>
      <c r="L22" s="316">
        <f>((D22*DATA!$D$23)/1000000)+((E22*DATA!$D$24)/1000000)</f>
        <v>16.989671999999999</v>
      </c>
      <c r="M22" s="316">
        <f t="shared" si="2"/>
        <v>16.989671999999999</v>
      </c>
      <c r="N22" s="316">
        <f t="shared" ca="1" si="6"/>
        <v>2.2205772939041779</v>
      </c>
      <c r="O22" s="315">
        <f>1/(1+'[93]Asumsi I'!$C$3)^(KKF!A22)</f>
        <v>0.18269626126419927</v>
      </c>
      <c r="P22" s="316">
        <f t="shared" ca="1" si="7"/>
        <v>0.40569116944446632</v>
      </c>
      <c r="Q22" s="316">
        <f t="shared" ca="1" si="9"/>
        <v>-49.185149110794399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11760</v>
      </c>
      <c r="D23" s="316">
        <f t="shared" si="5"/>
        <v>1960</v>
      </c>
      <c r="E23" s="316">
        <f t="shared" si="0"/>
        <v>9800</v>
      </c>
      <c r="F23" s="314"/>
      <c r="G23" s="318">
        <f ca="1">DATA!$D$11/1000000</f>
        <v>1.7329246793280002</v>
      </c>
      <c r="H23" s="318">
        <f>C23*DATA!$D$5/1000000</f>
        <v>12.749310539626229</v>
      </c>
      <c r="I23" s="318">
        <f>(C23*DATA!$D$5*DATA!$D$7)/1000000</f>
        <v>0.28685948714159015</v>
      </c>
      <c r="J23" s="316">
        <f t="shared" ca="1" si="1"/>
        <v>14.769094706095821</v>
      </c>
      <c r="K23" s="314"/>
      <c r="L23" s="316">
        <f>((D23*DATA!$D$23)/1000000)+((E23*DATA!$D$24)/1000000)</f>
        <v>16.989671999999999</v>
      </c>
      <c r="M23" s="316">
        <f t="shared" si="2"/>
        <v>16.989671999999999</v>
      </c>
      <c r="N23" s="316">
        <f t="shared" ca="1" si="6"/>
        <v>2.2205772939041779</v>
      </c>
      <c r="O23" s="315">
        <f>1/(1+'[93]Asumsi I'!$C$3)^(KKF!A23)</f>
        <v>0.16312166184303503</v>
      </c>
      <c r="P23" s="316">
        <f t="shared" ca="1" si="7"/>
        <v>0.36222425843255912</v>
      </c>
      <c r="Q23" s="316">
        <f t="shared" ca="1" si="9"/>
        <v>-48.822924852361837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11760</v>
      </c>
      <c r="D24" s="316">
        <f t="shared" si="5"/>
        <v>1960</v>
      </c>
      <c r="E24" s="316">
        <f t="shared" si="0"/>
        <v>9800</v>
      </c>
      <c r="F24" s="314"/>
      <c r="G24" s="318">
        <f ca="1">DATA!$D$11/1000000</f>
        <v>1.7329246793280002</v>
      </c>
      <c r="H24" s="318">
        <f>C24*DATA!$D$5/1000000</f>
        <v>12.749310539626229</v>
      </c>
      <c r="I24" s="318">
        <f>(C24*DATA!$D$5*DATA!$D$7)/1000000</f>
        <v>0.28685948714159015</v>
      </c>
      <c r="J24" s="316">
        <f t="shared" ca="1" si="1"/>
        <v>14.769094706095821</v>
      </c>
      <c r="K24" s="314"/>
      <c r="L24" s="316">
        <f>((D24*DATA!$D$23)/1000000)+((E24*DATA!$D$24)/1000000)</f>
        <v>16.989671999999999</v>
      </c>
      <c r="M24" s="316">
        <f t="shared" si="2"/>
        <v>16.989671999999999</v>
      </c>
      <c r="N24" s="316">
        <f t="shared" ca="1" si="6"/>
        <v>2.2205772939041779</v>
      </c>
      <c r="O24" s="315">
        <f>1/(1+'[93]Asumsi I'!$C$3)^(KKF!A24)</f>
        <v>0.14564434093128129</v>
      </c>
      <c r="P24" s="316">
        <f t="shared" ca="1" si="7"/>
        <v>0.32341451645764208</v>
      </c>
      <c r="Q24" s="316">
        <f t="shared" ca="1" si="9"/>
        <v>-48.499510335904198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11760</v>
      </c>
      <c r="D25" s="316">
        <f t="shared" si="5"/>
        <v>1960</v>
      </c>
      <c r="E25" s="316">
        <f t="shared" si="0"/>
        <v>9800</v>
      </c>
      <c r="F25" s="314"/>
      <c r="G25" s="318">
        <f ca="1">DATA!$D$11/1000000</f>
        <v>1.7329246793280002</v>
      </c>
      <c r="H25" s="318">
        <f>C25*DATA!$D$5/1000000</f>
        <v>12.749310539626229</v>
      </c>
      <c r="I25" s="318">
        <f>(C25*DATA!$D$5*DATA!$D$7)/1000000</f>
        <v>0.28685948714159015</v>
      </c>
      <c r="J25" s="316">
        <f t="shared" ca="1" si="1"/>
        <v>14.769094706095821</v>
      </c>
      <c r="K25" s="314"/>
      <c r="L25" s="316">
        <f>((D25*DATA!$D$23)/1000000)+((E25*DATA!$D$24)/1000000)</f>
        <v>16.989671999999999</v>
      </c>
      <c r="M25" s="316">
        <f t="shared" si="2"/>
        <v>16.989671999999999</v>
      </c>
      <c r="N25" s="316">
        <f t="shared" ca="1" si="6"/>
        <v>2.2205772939041779</v>
      </c>
      <c r="O25" s="315">
        <f>1/(1+'[93]Asumsi I'!$C$3)^(KKF!A25)</f>
        <v>0.13003959011721541</v>
      </c>
      <c r="P25" s="316">
        <f t="shared" ca="1" si="7"/>
        <v>0.28876296112289468</v>
      </c>
      <c r="Q25" s="316">
        <f t="shared" ca="1" si="9"/>
        <v>-48.210747374781306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11760</v>
      </c>
      <c r="D26" s="316">
        <f t="shared" si="5"/>
        <v>1960</v>
      </c>
      <c r="E26" s="316">
        <f t="shared" si="0"/>
        <v>9800</v>
      </c>
      <c r="F26" s="314"/>
      <c r="G26" s="318">
        <f ca="1">DATA!$D$11/1000000</f>
        <v>1.7329246793280002</v>
      </c>
      <c r="H26" s="318">
        <f>C26*DATA!$D$5/1000000</f>
        <v>12.749310539626229</v>
      </c>
      <c r="I26" s="318">
        <f>(C26*DATA!$D$5*DATA!$D$7)/1000000</f>
        <v>0.28685948714159015</v>
      </c>
      <c r="J26" s="316">
        <f t="shared" ca="1" si="1"/>
        <v>14.769094706095821</v>
      </c>
      <c r="K26" s="314"/>
      <c r="L26" s="316">
        <f>((D26*DATA!$D$23)/1000000)+((E26*DATA!$D$24)/1000000)</f>
        <v>16.989671999999999</v>
      </c>
      <c r="M26" s="316">
        <f t="shared" si="2"/>
        <v>16.989671999999999</v>
      </c>
      <c r="N26" s="316">
        <f t="shared" ca="1" si="6"/>
        <v>2.2205772939041779</v>
      </c>
      <c r="O26" s="315">
        <f>1/(1+'[93]Asumsi I'!$C$3)^(KKF!A26)</f>
        <v>0.1161067768903709</v>
      </c>
      <c r="P26" s="316">
        <f t="shared" ca="1" si="7"/>
        <v>0.25782407243115596</v>
      </c>
      <c r="Q26" s="316">
        <f t="shared" ca="1" si="9"/>
        <v>-47.95292330235015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11760</v>
      </c>
      <c r="D27" s="316">
        <f t="shared" si="5"/>
        <v>1960</v>
      </c>
      <c r="E27" s="316">
        <f t="shared" si="0"/>
        <v>9800</v>
      </c>
      <c r="F27" s="314"/>
      <c r="G27" s="318">
        <f ca="1">DATA!$D$11/1000000</f>
        <v>1.7329246793280002</v>
      </c>
      <c r="H27" s="318">
        <f>C27*DATA!$D$5/1000000</f>
        <v>12.749310539626229</v>
      </c>
      <c r="I27" s="318">
        <f>(C27*DATA!$D$5*DATA!$D$7)/1000000</f>
        <v>0.28685948714159015</v>
      </c>
      <c r="J27" s="316">
        <f t="shared" ca="1" si="1"/>
        <v>14.769094706095821</v>
      </c>
      <c r="K27" s="314"/>
      <c r="L27" s="316">
        <f>((D27*DATA!$D$23)/1000000)+((E27*DATA!$D$24)/1000000)</f>
        <v>16.989671999999999</v>
      </c>
      <c r="M27" s="316">
        <f t="shared" si="2"/>
        <v>16.989671999999999</v>
      </c>
      <c r="N27" s="316">
        <f t="shared" ca="1" si="6"/>
        <v>2.2205772939041779</v>
      </c>
      <c r="O27" s="315">
        <f>1/(1+'[93]Asumsi I'!$C$3)^(KKF!A27)</f>
        <v>0.1036667650806883</v>
      </c>
      <c r="P27" s="316">
        <f t="shared" ca="1" si="7"/>
        <v>0.23020006467067494</v>
      </c>
      <c r="Q27" s="316">
        <f t="shared" ca="1" si="9"/>
        <v>-47.722723237679475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11760</v>
      </c>
      <c r="D28" s="316">
        <f t="shared" si="5"/>
        <v>1960</v>
      </c>
      <c r="E28" s="316">
        <f t="shared" si="0"/>
        <v>9800</v>
      </c>
      <c r="F28" s="314"/>
      <c r="G28" s="318">
        <f ca="1">DATA!$D$11/1000000</f>
        <v>1.7329246793280002</v>
      </c>
      <c r="H28" s="318">
        <f>C28*DATA!$D$5/1000000</f>
        <v>12.749310539626229</v>
      </c>
      <c r="I28" s="318">
        <f>(C28*DATA!$D$5*DATA!$D$7)/1000000</f>
        <v>0.28685948714159015</v>
      </c>
      <c r="J28" s="316">
        <f t="shared" ca="1" si="1"/>
        <v>14.769094706095821</v>
      </c>
      <c r="K28" s="314"/>
      <c r="L28" s="316">
        <f>((D28*DATA!$D$23)/1000000)+((E28*DATA!$D$24)/1000000)</f>
        <v>16.989671999999999</v>
      </c>
      <c r="M28" s="316">
        <f t="shared" si="2"/>
        <v>16.989671999999999</v>
      </c>
      <c r="N28" s="316">
        <f t="shared" ca="1" si="6"/>
        <v>2.2205772939041779</v>
      </c>
      <c r="O28" s="315">
        <f>1/(1+'[93]Asumsi I'!$C$3)^(KKF!A28)</f>
        <v>9.2559611679185971E-2</v>
      </c>
      <c r="P28" s="316">
        <f t="shared" ca="1" si="7"/>
        <v>0.20553577202738832</v>
      </c>
      <c r="Q28" s="316">
        <f t="shared" ca="1" si="9"/>
        <v>-47.517187465652086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11760</v>
      </c>
      <c r="D29" s="316">
        <f t="shared" si="5"/>
        <v>1960</v>
      </c>
      <c r="E29" s="316">
        <f t="shared" si="0"/>
        <v>9800</v>
      </c>
      <c r="F29" s="314"/>
      <c r="G29" s="318">
        <f ca="1">DATA!$D$11/1000000</f>
        <v>1.7329246793280002</v>
      </c>
      <c r="H29" s="318">
        <f>C29*DATA!$D$5/1000000</f>
        <v>12.749310539626229</v>
      </c>
      <c r="I29" s="318">
        <f>(C29*DATA!$D$5*DATA!$D$7)/1000000</f>
        <v>0.28685948714159015</v>
      </c>
      <c r="J29" s="316">
        <f t="shared" ca="1" si="1"/>
        <v>14.769094706095821</v>
      </c>
      <c r="K29" s="314"/>
      <c r="L29" s="316">
        <f>((D29*DATA!$D$23)/1000000)+((E29*DATA!$D$24)/1000000)</f>
        <v>16.989671999999999</v>
      </c>
      <c r="M29" s="316">
        <f t="shared" si="2"/>
        <v>16.989671999999999</v>
      </c>
      <c r="N29" s="316">
        <f t="shared" ca="1" si="6"/>
        <v>2.2205772939041779</v>
      </c>
      <c r="O29" s="315">
        <f>1/(1+'[93]Asumsi I'!$C$3)^(KKF!A29)</f>
        <v>8.2642510427844609E-2</v>
      </c>
      <c r="P29" s="316">
        <f t="shared" ca="1" si="7"/>
        <v>0.18351408216731099</v>
      </c>
      <c r="Q29" s="316">
        <f t="shared" ca="1" si="9"/>
        <v>-47.333673383484772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11760</v>
      </c>
      <c r="D30" s="316">
        <f t="shared" si="5"/>
        <v>1960</v>
      </c>
      <c r="E30" s="316">
        <f t="shared" si="0"/>
        <v>9800</v>
      </c>
      <c r="F30" s="314"/>
      <c r="G30" s="318">
        <f ca="1">DATA!$D$11/1000000</f>
        <v>1.7329246793280002</v>
      </c>
      <c r="H30" s="318">
        <f>C30*DATA!$D$5/1000000</f>
        <v>12.749310539626229</v>
      </c>
      <c r="I30" s="318">
        <f>(C30*DATA!$D$5*DATA!$D$7)/1000000</f>
        <v>0.28685948714159015</v>
      </c>
      <c r="J30" s="316">
        <f t="shared" ca="1" si="1"/>
        <v>14.769094706095821</v>
      </c>
      <c r="K30" s="314"/>
      <c r="L30" s="316">
        <f>((D30*DATA!$D$23)/1000000)+((E30*DATA!$D$24)/1000000)</f>
        <v>16.989671999999999</v>
      </c>
      <c r="M30" s="316">
        <f t="shared" si="2"/>
        <v>16.989671999999999</v>
      </c>
      <c r="N30" s="316">
        <f t="shared" ca="1" si="6"/>
        <v>2.2205772939041779</v>
      </c>
      <c r="O30" s="315">
        <f>1/(1+'[93]Asumsi I'!$C$3)^(KKF!A30)</f>
        <v>7.3787955739146982E-2</v>
      </c>
      <c r="P30" s="316">
        <f t="shared" ca="1" si="7"/>
        <v>0.16385185907795627</v>
      </c>
      <c r="Q30" s="316">
        <f t="shared" ca="1" si="9"/>
        <v>-47.169821524406814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11760</v>
      </c>
      <c r="D31" s="316">
        <f t="shared" si="5"/>
        <v>1960</v>
      </c>
      <c r="E31" s="316">
        <f t="shared" si="0"/>
        <v>9800</v>
      </c>
      <c r="F31" s="314"/>
      <c r="G31" s="318">
        <f ca="1">DATA!$D$11/1000000</f>
        <v>1.7329246793280002</v>
      </c>
      <c r="H31" s="318">
        <f>C31*DATA!$D$5/1000000</f>
        <v>12.749310539626229</v>
      </c>
      <c r="I31" s="318">
        <f>(C31*DATA!$D$5*DATA!$D$7)/1000000</f>
        <v>0.28685948714159015</v>
      </c>
      <c r="J31" s="316">
        <f t="shared" ca="1" si="1"/>
        <v>14.769094706095821</v>
      </c>
      <c r="K31" s="314"/>
      <c r="L31" s="316">
        <f>((D31*DATA!$D$23)/1000000)+((E31*DATA!$D$24)/1000000)</f>
        <v>16.989671999999999</v>
      </c>
      <c r="M31" s="316">
        <f t="shared" si="2"/>
        <v>16.989671999999999</v>
      </c>
      <c r="N31" s="316">
        <f t="shared" ca="1" si="6"/>
        <v>2.2205772939041779</v>
      </c>
      <c r="O31" s="315">
        <f>1/(1+'[93]Asumsi I'!$C$3)^(KKF!A31)</f>
        <v>6.5882103338524081E-2</v>
      </c>
      <c r="P31" s="316">
        <f t="shared" ca="1" si="7"/>
        <v>0.14629630274817521</v>
      </c>
      <c r="Q31" s="316">
        <f ca="1">Q30+P31</f>
        <v>-47.023525221658637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11760</v>
      </c>
      <c r="D32" s="316">
        <f t="shared" si="5"/>
        <v>1960</v>
      </c>
      <c r="E32" s="316">
        <f t="shared" si="0"/>
        <v>9800</v>
      </c>
      <c r="F32" s="314"/>
      <c r="G32" s="318">
        <f ca="1">DATA!$D$11/1000000</f>
        <v>1.7329246793280002</v>
      </c>
      <c r="H32" s="318">
        <f>C32*DATA!$D$5/1000000</f>
        <v>12.749310539626229</v>
      </c>
      <c r="I32" s="318">
        <f>(C32*DATA!$D$5*DATA!$D$7)/1000000</f>
        <v>0.28685948714159015</v>
      </c>
      <c r="J32" s="316">
        <f t="shared" ca="1" si="1"/>
        <v>14.769094706095821</v>
      </c>
      <c r="K32" s="314"/>
      <c r="L32" s="316">
        <f>((D32*DATA!$D$23)/1000000)+((E32*DATA!$D$24)/1000000)</f>
        <v>16.989671999999999</v>
      </c>
      <c r="M32" s="316">
        <f t="shared" si="2"/>
        <v>16.989671999999999</v>
      </c>
      <c r="N32" s="316">
        <f t="shared" ca="1" si="6"/>
        <v>2.2205772939041779</v>
      </c>
      <c r="O32" s="315">
        <f>1/(1+'[93]Asumsi I'!$C$3)^(KKF!A32)</f>
        <v>5.8823306552253637E-2</v>
      </c>
      <c r="P32" s="316">
        <f t="shared" ca="1" si="7"/>
        <v>0.13062169888229927</v>
      </c>
      <c r="Q32" s="316">
        <f ca="1">Q31+P32</f>
        <v>-46.892903522776336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458.69287380035405</v>
      </c>
      <c r="K33" s="613" t="s">
        <v>1375</v>
      </c>
      <c r="L33" s="613"/>
      <c r="M33" s="325">
        <f>SUM(M7:M32)</f>
        <v>449.8981059999997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40.289300621759516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0.98082645643153754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-41.868663859621726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-1.1006442469520872E-2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0"/>
  <sheetViews>
    <sheetView showGridLines="0" zoomScale="85" zoomScaleNormal="85" zoomScaleSheetLayoutView="70" workbookViewId="0">
      <pane ySplit="13" topLeftCell="A92" activePane="bottomLeft" state="frozen"/>
      <selection activeCell="H1093" sqref="H1093"/>
      <selection pane="bottomLeft" activeCell="I101" sqref="I101:K10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6" t="s">
        <v>1036</v>
      </c>
      <c r="P3" s="636"/>
      <c r="Q3" s="346"/>
      <c r="T3" s="344"/>
      <c r="U3" s="345" t="s">
        <v>1041</v>
      </c>
      <c r="V3" s="344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GEDUNG PARIPURNA DPRD DEMAK</v>
      </c>
      <c r="H6" s="620"/>
      <c r="I6" s="620"/>
      <c r="J6" s="620"/>
      <c r="K6" s="62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43" ca="1" si="8">IF(OR(D18="MDU",D18="MDU-KD"),(IF($O$3="RAB NON MDU","PLN KD",G18*F18)),0)</f>
        <v>0</v>
      </c>
      <c r="I18" s="361">
        <f t="shared" ref="I18:I43" ca="1" si="9">IF(D18="HDW",G18*F18,0)</f>
        <v>0</v>
      </c>
      <c r="J18" s="361">
        <f t="shared" ref="J18:J43" ca="1" si="10">IF(D18="JASA",G18*F18,0)</f>
        <v>0</v>
      </c>
      <c r="K18" s="362">
        <f t="shared" ref="K18:K43" ca="1" si="11">SUM(H18:J18)</f>
        <v>0</v>
      </c>
    </row>
    <row r="19" spans="1:22">
      <c r="B19" s="500" t="s">
        <v>1035</v>
      </c>
      <c r="C19" s="499" t="s">
        <v>1613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97">
        <v>2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</row>
    <row r="20" spans="1:22">
      <c r="B20" s="500">
        <v>1</v>
      </c>
      <c r="C20" s="499" t="s">
        <v>229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97">
        <f>F19*1</f>
        <v>2</v>
      </c>
      <c r="G20" s="360">
        <f ca="1">IF(ISERROR(OFFSET('HARGA SATUAN'!$I$6,MATCH(RAB!C20,'HARGA SATUAN'!$C$7:$C$1492,0),0)),0,OFFSET('HARGA SATUAN'!$I$6,MATCH(RAB!C20,'HARGA SATUAN'!$C$7:$C$1492,0),0))</f>
        <v>4212</v>
      </c>
      <c r="H20" s="361">
        <f t="shared" ca="1" si="8"/>
        <v>0</v>
      </c>
      <c r="I20" s="361">
        <f t="shared" ca="1" si="9"/>
        <v>8424</v>
      </c>
      <c r="J20" s="361">
        <f t="shared" ca="1" si="10"/>
        <v>0</v>
      </c>
      <c r="K20" s="362">
        <f t="shared" ca="1" si="11"/>
        <v>8424</v>
      </c>
    </row>
    <row r="21" spans="1:22">
      <c r="B21" s="500">
        <v>2</v>
      </c>
      <c r="C21" s="499" t="s">
        <v>266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497">
        <f>F19*1</f>
        <v>2</v>
      </c>
      <c r="G21" s="360">
        <f ca="1">IF(ISERROR(OFFSET('HARGA SATUAN'!$I$6,MATCH(RAB!C21,'HARGA SATUAN'!$C$7:$C$1492,0),0)),0,OFFSET('HARGA SATUAN'!$I$6,MATCH(RAB!C21,'HARGA SATUAN'!$C$7:$C$1492,0),0))</f>
        <v>23310</v>
      </c>
      <c r="H21" s="361">
        <f t="shared" ca="1" si="8"/>
        <v>0</v>
      </c>
      <c r="I21" s="361">
        <f t="shared" ca="1" si="9"/>
        <v>46620</v>
      </c>
      <c r="J21" s="361">
        <f t="shared" ca="1" si="10"/>
        <v>0</v>
      </c>
      <c r="K21" s="362">
        <f t="shared" ca="1" si="11"/>
        <v>46620</v>
      </c>
    </row>
    <row r="22" spans="1:22">
      <c r="B22" s="500">
        <v>3</v>
      </c>
      <c r="C22" s="499" t="s">
        <v>35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F19*1</f>
        <v>2</v>
      </c>
      <c r="G22" s="360">
        <f ca="1">IF(ISERROR(OFFSET('HARGA SATUAN'!$I$6,MATCH(RAB!C22,'HARGA SATUAN'!$C$7:$C$1492,0),0)),0,OFFSET('HARGA SATUAN'!$I$6,MATCH(RAB!C22,'HARGA SATUAN'!$C$7:$C$1492,0),0))</f>
        <v>2300</v>
      </c>
      <c r="H22" s="361">
        <f t="shared" ca="1" si="8"/>
        <v>0</v>
      </c>
      <c r="I22" s="361">
        <f t="shared" ca="1" si="9"/>
        <v>4600</v>
      </c>
      <c r="J22" s="361">
        <f t="shared" ca="1" si="10"/>
        <v>0</v>
      </c>
      <c r="K22" s="362">
        <f t="shared" ca="1" si="11"/>
        <v>4600</v>
      </c>
    </row>
    <row r="23" spans="1:22">
      <c r="B23" s="500">
        <v>4</v>
      </c>
      <c r="C23" s="499" t="s">
        <v>609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7">
        <f>F19*1</f>
        <v>2</v>
      </c>
      <c r="G23" s="360">
        <f ca="1">IF(ISERROR(OFFSET('HARGA SATUAN'!$I$6,MATCH(RAB!C23,'HARGA SATUAN'!$C$7:$C$1492,0),0)),0,OFFSET('HARGA SATUAN'!$I$6,MATCH(RAB!C23,'HARGA SATUAN'!$C$7:$C$1492,0),0))</f>
        <v>71000</v>
      </c>
      <c r="H23" s="361">
        <f t="shared" ca="1" si="8"/>
        <v>0</v>
      </c>
      <c r="I23" s="361">
        <f t="shared" ca="1" si="9"/>
        <v>142000</v>
      </c>
      <c r="J23" s="361">
        <f t="shared" ca="1" si="10"/>
        <v>0</v>
      </c>
      <c r="K23" s="362">
        <f t="shared" ca="1" si="11"/>
        <v>142000</v>
      </c>
    </row>
    <row r="24" spans="1:22">
      <c r="B24" s="500">
        <v>5</v>
      </c>
      <c r="C24" s="499" t="s">
        <v>629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7">
        <f>F19*1</f>
        <v>2</v>
      </c>
      <c r="G24" s="360">
        <f ca="1">IF(ISERROR(OFFSET('HARGA SATUAN'!$I$6,MATCH(RAB!C24,'HARGA SATUAN'!$C$7:$C$1492,0),0)),0,OFFSET('HARGA SATUAN'!$I$6,MATCH(RAB!C24,'HARGA SATUAN'!$C$7:$C$1492,0),0))</f>
        <v>29400</v>
      </c>
      <c r="H24" s="361">
        <f t="shared" ca="1" si="8"/>
        <v>0</v>
      </c>
      <c r="I24" s="361">
        <f t="shared" ca="1" si="9"/>
        <v>0</v>
      </c>
      <c r="J24" s="361">
        <f t="shared" ca="1" si="10"/>
        <v>58800</v>
      </c>
      <c r="K24" s="362">
        <f t="shared" ca="1" si="11"/>
        <v>58800</v>
      </c>
    </row>
    <row r="25" spans="1:22">
      <c r="B25" s="500"/>
      <c r="C25" s="499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97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</row>
    <row r="26" spans="1:22">
      <c r="B26" s="500" t="s">
        <v>1035</v>
      </c>
      <c r="C26" s="499" t="s">
        <v>1614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v>2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</row>
    <row r="27" spans="1:22">
      <c r="B27" s="500">
        <v>1</v>
      </c>
      <c r="C27" s="499" t="s">
        <v>595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7">
        <f>F26*1</f>
        <v>2</v>
      </c>
      <c r="G27" s="360">
        <f ca="1">IF(ISERROR(OFFSET('HARGA SATUAN'!$I$6,MATCH(RAB!C27,'HARGA SATUAN'!$C$7:$C$1492,0),0)),0,OFFSET('HARGA SATUAN'!$I$6,MATCH(RAB!C27,'HARGA SATUAN'!$C$7:$C$1492,0),0))</f>
        <v>78500</v>
      </c>
      <c r="H27" s="361">
        <f t="shared" ca="1" si="8"/>
        <v>0</v>
      </c>
      <c r="I27" s="361">
        <f t="shared" ca="1" si="9"/>
        <v>157000</v>
      </c>
      <c r="J27" s="361">
        <f t="shared" ca="1" si="10"/>
        <v>0</v>
      </c>
      <c r="K27" s="362">
        <f t="shared" ca="1" si="11"/>
        <v>157000</v>
      </c>
    </row>
    <row r="28" spans="1:22">
      <c r="B28" s="500">
        <v>2</v>
      </c>
      <c r="C28" s="499" t="s">
        <v>229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7">
        <f>F26*1</f>
        <v>2</v>
      </c>
      <c r="G28" s="360">
        <f ca="1">IF(ISERROR(OFFSET('HARGA SATUAN'!$I$6,MATCH(RAB!C28,'HARGA SATUAN'!$C$7:$C$1492,0),0)),0,OFFSET('HARGA SATUAN'!$I$6,MATCH(RAB!C28,'HARGA SATUAN'!$C$7:$C$1492,0),0))</f>
        <v>4212</v>
      </c>
      <c r="H28" s="361">
        <f t="shared" ca="1" si="8"/>
        <v>0</v>
      </c>
      <c r="I28" s="361">
        <f t="shared" ca="1" si="9"/>
        <v>8424</v>
      </c>
      <c r="J28" s="361">
        <f t="shared" ca="1" si="10"/>
        <v>0</v>
      </c>
      <c r="K28" s="362">
        <f t="shared" ca="1" si="11"/>
        <v>8424</v>
      </c>
    </row>
    <row r="29" spans="1:22">
      <c r="B29" s="500">
        <v>3</v>
      </c>
      <c r="C29" s="499" t="s">
        <v>266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497">
        <f>F26*1</f>
        <v>2</v>
      </c>
      <c r="G29" s="360">
        <f ca="1">IF(ISERROR(OFFSET('HARGA SATUAN'!$I$6,MATCH(RAB!C29,'HARGA SATUAN'!$C$7:$C$1492,0),0)),0,OFFSET('HARGA SATUAN'!$I$6,MATCH(RAB!C29,'HARGA SATUAN'!$C$7:$C$1492,0),0))</f>
        <v>23310</v>
      </c>
      <c r="H29" s="361">
        <f t="shared" ca="1" si="8"/>
        <v>0</v>
      </c>
      <c r="I29" s="361">
        <f t="shared" ca="1" si="9"/>
        <v>46620</v>
      </c>
      <c r="J29" s="361">
        <f t="shared" ca="1" si="10"/>
        <v>0</v>
      </c>
      <c r="K29" s="362">
        <f t="shared" ca="1" si="11"/>
        <v>46620</v>
      </c>
    </row>
    <row r="30" spans="1:22">
      <c r="B30" s="500">
        <v>4</v>
      </c>
      <c r="C30" s="499" t="s">
        <v>35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F26*1</f>
        <v>2</v>
      </c>
      <c r="G30" s="360">
        <f ca="1">IF(ISERROR(OFFSET('HARGA SATUAN'!$I$6,MATCH(RAB!C30,'HARGA SATUAN'!$C$7:$C$1492,0),0)),0,OFFSET('HARGA SATUAN'!$I$6,MATCH(RAB!C30,'HARGA SATUAN'!$C$7:$C$1492,0),0))</f>
        <v>2300</v>
      </c>
      <c r="H30" s="361">
        <f t="shared" ca="1" si="8"/>
        <v>0</v>
      </c>
      <c r="I30" s="361">
        <f t="shared" ca="1" si="9"/>
        <v>4600</v>
      </c>
      <c r="J30" s="361">
        <f t="shared" ca="1" si="10"/>
        <v>0</v>
      </c>
      <c r="K30" s="362">
        <f t="shared" ca="1" si="11"/>
        <v>4600</v>
      </c>
    </row>
    <row r="31" spans="1:22">
      <c r="B31" s="500">
        <v>5</v>
      </c>
      <c r="C31" s="499" t="s">
        <v>630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97">
        <f>F26*1</f>
        <v>2</v>
      </c>
      <c r="G31" s="360">
        <f ca="1">IF(ISERROR(OFFSET('HARGA SATUAN'!$I$6,MATCH(RAB!C31,'HARGA SATUAN'!$C$7:$C$1492,0),0)),0,OFFSET('HARGA SATUAN'!$I$6,MATCH(RAB!C31,'HARGA SATUAN'!$C$7:$C$1492,0),0))</f>
        <v>35700</v>
      </c>
      <c r="H31" s="361">
        <f t="shared" ca="1" si="8"/>
        <v>0</v>
      </c>
      <c r="I31" s="361">
        <f t="shared" ca="1" si="9"/>
        <v>0</v>
      </c>
      <c r="J31" s="361">
        <f t="shared" ca="1" si="10"/>
        <v>71400</v>
      </c>
      <c r="K31" s="362">
        <f t="shared" ca="1" si="11"/>
        <v>71400</v>
      </c>
    </row>
    <row r="32" spans="1:22">
      <c r="B32" s="492"/>
      <c r="C32" s="495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</row>
    <row r="33" spans="2:11">
      <c r="B33" s="507" t="s">
        <v>1035</v>
      </c>
      <c r="C33" s="508" t="s">
        <v>1618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v>1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:H39" ca="1" si="12">IF(OR(D33="MDU",D33="MDU-KD"),(IF($O$3="RAB NON MDU","PLN KD",G33*F33)),0)</f>
        <v>0</v>
      </c>
      <c r="I33" s="361">
        <f t="shared" ref="I33:I39" ca="1" si="13">IF(D33="HDW",G33*F33,0)</f>
        <v>0</v>
      </c>
      <c r="J33" s="361">
        <f t="shared" ref="J33:J39" ca="1" si="14">IF(D33="JASA",G33*F33,0)</f>
        <v>0</v>
      </c>
      <c r="K33" s="362">
        <f t="shared" ref="K33:K39" ca="1" si="15">SUM(H33:J33)</f>
        <v>0</v>
      </c>
    </row>
    <row r="34" spans="2:11">
      <c r="B34" s="507">
        <v>1</v>
      </c>
      <c r="C34" s="508" t="s">
        <v>598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7">
        <f>F33*1</f>
        <v>1</v>
      </c>
      <c r="G34" s="360">
        <f ca="1">IF(ISERROR(OFFSET('HARGA SATUAN'!$I$6,MATCH(RAB!C34,'HARGA SATUAN'!$C$7:$C$1492,0),0)),0,OFFSET('HARGA SATUAN'!$I$6,MATCH(RAB!C34,'HARGA SATUAN'!$C$7:$C$1492,0),0))</f>
        <v>3965</v>
      </c>
      <c r="H34" s="361">
        <f t="shared" ca="1" si="12"/>
        <v>0</v>
      </c>
      <c r="I34" s="361">
        <f t="shared" ca="1" si="13"/>
        <v>3965</v>
      </c>
      <c r="J34" s="361">
        <f t="shared" ca="1" si="14"/>
        <v>0</v>
      </c>
      <c r="K34" s="362">
        <f t="shared" ca="1" si="15"/>
        <v>3965</v>
      </c>
    </row>
    <row r="35" spans="2:11">
      <c r="B35" s="507">
        <v>2</v>
      </c>
      <c r="C35" s="508" t="s">
        <v>474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7">
        <f>F33*1</f>
        <v>1</v>
      </c>
      <c r="G35" s="360">
        <f ca="1">IF(ISERROR(OFFSET('HARGA SATUAN'!$I$6,MATCH(RAB!C35,'HARGA SATUAN'!$C$7:$C$1492,0),0)),0,OFFSET('HARGA SATUAN'!$I$6,MATCH(RAB!C35,'HARGA SATUAN'!$C$7:$C$1492,0),0))</f>
        <v>3711.24</v>
      </c>
      <c r="H35" s="361">
        <f t="shared" ca="1" si="12"/>
        <v>0</v>
      </c>
      <c r="I35" s="361">
        <f t="shared" ca="1" si="13"/>
        <v>3711.24</v>
      </c>
      <c r="J35" s="361">
        <f t="shared" ca="1" si="14"/>
        <v>0</v>
      </c>
      <c r="K35" s="362">
        <f t="shared" ca="1" si="15"/>
        <v>3711.24</v>
      </c>
    </row>
    <row r="36" spans="2:11">
      <c r="B36" s="507">
        <v>3</v>
      </c>
      <c r="C36" s="508" t="s">
        <v>266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7">
        <f>F33*1</f>
        <v>1</v>
      </c>
      <c r="G36" s="360">
        <f ca="1">IF(ISERROR(OFFSET('HARGA SATUAN'!$I$6,MATCH(RAB!C36,'HARGA SATUAN'!$C$7:$C$1492,0),0)),0,OFFSET('HARGA SATUAN'!$I$6,MATCH(RAB!C36,'HARGA SATUAN'!$C$7:$C$1492,0),0))</f>
        <v>23310</v>
      </c>
      <c r="H36" s="361">
        <f t="shared" ca="1" si="12"/>
        <v>0</v>
      </c>
      <c r="I36" s="361">
        <f t="shared" ca="1" si="13"/>
        <v>23310</v>
      </c>
      <c r="J36" s="361">
        <f t="shared" ca="1" si="14"/>
        <v>0</v>
      </c>
      <c r="K36" s="362">
        <f t="shared" ca="1" si="15"/>
        <v>23310</v>
      </c>
    </row>
    <row r="37" spans="2:11">
      <c r="B37" s="507">
        <v>4</v>
      </c>
      <c r="C37" s="508" t="s">
        <v>35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F33*1</f>
        <v>1</v>
      </c>
      <c r="G37" s="360">
        <f ca="1">IF(ISERROR(OFFSET('HARGA SATUAN'!$I$6,MATCH(RAB!C37,'HARGA SATUAN'!$C$7:$C$1492,0),0)),0,OFFSET('HARGA SATUAN'!$I$6,MATCH(RAB!C37,'HARGA SATUAN'!$C$7:$C$1492,0),0))</f>
        <v>2300</v>
      </c>
      <c r="H37" s="361">
        <f t="shared" ca="1" si="12"/>
        <v>0</v>
      </c>
      <c r="I37" s="361">
        <f t="shared" ca="1" si="13"/>
        <v>2300</v>
      </c>
      <c r="J37" s="361">
        <f t="shared" ca="1" si="14"/>
        <v>0</v>
      </c>
      <c r="K37" s="362">
        <f t="shared" ca="1" si="15"/>
        <v>2300</v>
      </c>
    </row>
    <row r="38" spans="2:11">
      <c r="B38" s="507">
        <v>5</v>
      </c>
      <c r="C38" s="508" t="s">
        <v>632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7">
        <f>F33*1</f>
        <v>1</v>
      </c>
      <c r="G38" s="360">
        <f ca="1">IF(ISERROR(OFFSET('HARGA SATUAN'!$I$6,MATCH(RAB!C38,'HARGA SATUAN'!$C$7:$C$1492,0),0)),0,OFFSET('HARGA SATUAN'!$I$6,MATCH(RAB!C38,'HARGA SATUAN'!$C$7:$C$1492,0),0))</f>
        <v>22700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22700</v>
      </c>
      <c r="K38" s="362">
        <f t="shared" ca="1" si="15"/>
        <v>22700</v>
      </c>
    </row>
    <row r="39" spans="2:11">
      <c r="B39" s="492"/>
      <c r="C39" s="495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</row>
    <row r="40" spans="2:11">
      <c r="B40" s="492"/>
      <c r="C40" s="501" t="s">
        <v>1615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8"/>
        <v>0</v>
      </c>
      <c r="I40" s="361">
        <f t="shared" ca="1" si="9"/>
        <v>0</v>
      </c>
      <c r="J40" s="361">
        <f t="shared" ca="1" si="10"/>
        <v>0</v>
      </c>
      <c r="K40" s="362">
        <f t="shared" ca="1" si="11"/>
        <v>0</v>
      </c>
    </row>
    <row r="41" spans="2:11">
      <c r="B41" s="492">
        <v>1</v>
      </c>
      <c r="C41" s="109" t="s">
        <v>1459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368">
        <v>80</v>
      </c>
      <c r="G41" s="360">
        <f ca="1">IF(ISERROR(OFFSET('HARGA SATUAN'!$I$6,MATCH(RAB!C41,'HARGA SATUAN'!$C$7:$C$1492,0),0)),0,OFFSET('HARGA SATUAN'!$I$6,MATCH(RAB!C41,'HARGA SATUAN'!$C$7:$C$1492,0),0))</f>
        <v>54500</v>
      </c>
      <c r="H41" s="361">
        <f t="shared" ca="1" si="8"/>
        <v>4360000</v>
      </c>
      <c r="I41" s="361">
        <f t="shared" ca="1" si="9"/>
        <v>0</v>
      </c>
      <c r="J41" s="361">
        <f t="shared" ca="1" si="10"/>
        <v>0</v>
      </c>
      <c r="K41" s="362">
        <f t="shared" ca="1" si="11"/>
        <v>4360000</v>
      </c>
    </row>
    <row r="42" spans="2:11">
      <c r="B42" s="492">
        <v>2</v>
      </c>
      <c r="C42" s="109" t="s">
        <v>346</v>
      </c>
      <c r="D42" s="504" t="s">
        <v>47</v>
      </c>
      <c r="E42" s="505" t="s">
        <v>297</v>
      </c>
      <c r="F42" s="505">
        <f>F41/50</f>
        <v>1.6</v>
      </c>
      <c r="G42" s="506">
        <v>100000</v>
      </c>
      <c r="H42" s="361">
        <f t="shared" si="8"/>
        <v>0</v>
      </c>
      <c r="I42" s="361">
        <f t="shared" si="9"/>
        <v>0</v>
      </c>
      <c r="J42" s="361">
        <f t="shared" si="10"/>
        <v>160000</v>
      </c>
      <c r="K42" s="362">
        <f t="shared" si="11"/>
        <v>160000</v>
      </c>
    </row>
    <row r="43" spans="2:11">
      <c r="B43" s="492"/>
      <c r="C43" s="495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8"/>
        <v>0</v>
      </c>
      <c r="I43" s="361">
        <f t="shared" ca="1" si="9"/>
        <v>0</v>
      </c>
      <c r="J43" s="361">
        <f t="shared" ca="1" si="10"/>
        <v>0</v>
      </c>
      <c r="K43" s="362">
        <f t="shared" ca="1" si="11"/>
        <v>0</v>
      </c>
    </row>
    <row r="44" spans="2:11">
      <c r="B44" s="492"/>
      <c r="C44" s="501" t="s">
        <v>1616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368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45" ca="1" si="16">IF(OR(D44="MDU",D44="MDU-KD"),(IF($O$3="RAB NON MDU","PLN KD",G44*F44)),0)</f>
        <v>0</v>
      </c>
      <c r="I44" s="361">
        <f t="shared" ref="I44:I45" ca="1" si="17">IF(D44="HDW",G44*F44,0)</f>
        <v>0</v>
      </c>
      <c r="J44" s="361">
        <f t="shared" ref="J44:J45" ca="1" si="18">IF(D44="JASA",G44*F44,0)</f>
        <v>0</v>
      </c>
      <c r="K44" s="362">
        <f t="shared" ref="K44:K45" ca="1" si="19">SUM(H44:J44)</f>
        <v>0</v>
      </c>
    </row>
    <row r="45" spans="2:11">
      <c r="B45" s="492"/>
      <c r="C45" s="495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16"/>
        <v>0</v>
      </c>
      <c r="I45" s="361">
        <f t="shared" ca="1" si="17"/>
        <v>0</v>
      </c>
      <c r="J45" s="361">
        <f t="shared" ca="1" si="18"/>
        <v>0</v>
      </c>
      <c r="K45" s="362">
        <f t="shared" ca="1" si="19"/>
        <v>0</v>
      </c>
    </row>
    <row r="46" spans="2:11">
      <c r="B46" s="366" t="s">
        <v>1608</v>
      </c>
      <c r="C46" s="367" t="s">
        <v>1619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68" ca="1" si="20">IF(OR(D46="MDU",D46="MDU-KD"),(IF($O$3="RAB NON MDU","PLN KD",G46*F46)),0)</f>
        <v>0</v>
      </c>
      <c r="I46" s="361">
        <f t="shared" ref="I46:I68" ca="1" si="21">IF(D46="HDW",G46*F46,0)</f>
        <v>0</v>
      </c>
      <c r="J46" s="361">
        <f t="shared" ref="J46:J68" ca="1" si="22">IF(D46="JASA",G46*F46,0)</f>
        <v>0</v>
      </c>
      <c r="K46" s="362">
        <f t="shared" ref="K46:K68" ca="1" si="23">SUM(H46:J46)</f>
        <v>0</v>
      </c>
    </row>
    <row r="47" spans="2:11">
      <c r="B47" s="516" t="s">
        <v>1035</v>
      </c>
      <c r="C47" s="517" t="s">
        <v>1628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7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0"/>
        <v>0</v>
      </c>
      <c r="I47" s="361">
        <f t="shared" ca="1" si="21"/>
        <v>0</v>
      </c>
      <c r="J47" s="361">
        <f t="shared" ca="1" si="22"/>
        <v>0</v>
      </c>
      <c r="K47" s="362">
        <f t="shared" ca="1" si="23"/>
        <v>0</v>
      </c>
    </row>
    <row r="48" spans="2:11">
      <c r="B48" s="516">
        <v>1</v>
      </c>
      <c r="C48" s="109" t="s">
        <v>1147</v>
      </c>
      <c r="D48" s="358" t="str">
        <f ca="1">IF(ISERROR(OFFSET('HARGA SATUAN'!$D$6,MATCH(RAB!C48,'HARGA SATUAN'!$C$7:$C$1492,0),0)),"",OFFSET('HARGA SATUAN'!$D$6,MATCH(RAB!C48,'HARGA SATUAN'!$C$7:$C$1492,0),0))</f>
        <v>MDU-KD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7">
        <f>F47*1</f>
        <v>1</v>
      </c>
      <c r="G48" s="360">
        <f ca="1">IF(ISERROR(OFFSET('HARGA SATUAN'!$I$6,MATCH(RAB!C48,'HARGA SATUAN'!$C$7:$C$1492,0),0)),0,OFFSET('HARGA SATUAN'!$I$6,MATCH(RAB!C48,'HARGA SATUAN'!$C$7:$C$1492,0),0))</f>
        <v>56838600</v>
      </c>
      <c r="H48" s="361">
        <f t="shared" ca="1" si="20"/>
        <v>56838600</v>
      </c>
      <c r="I48" s="361">
        <f t="shared" ca="1" si="21"/>
        <v>0</v>
      </c>
      <c r="J48" s="361">
        <f t="shared" ca="1" si="22"/>
        <v>0</v>
      </c>
      <c r="K48" s="362">
        <f t="shared" ca="1" si="23"/>
        <v>56838600</v>
      </c>
    </row>
    <row r="49" spans="2:11">
      <c r="B49" s="498">
        <v>2</v>
      </c>
      <c r="C49" s="511" t="s">
        <v>1620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12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</row>
    <row r="50" spans="2:11">
      <c r="B50" s="516"/>
      <c r="C50" s="511" t="s">
        <v>65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7">
        <f>F47*(3*3)</f>
        <v>9</v>
      </c>
      <c r="G50" s="360">
        <f ca="1">IF(ISERROR(OFFSET('HARGA SATUAN'!$I$6,MATCH(RAB!C50,'HARGA SATUAN'!$C$7:$C$1492,0),0)),0,OFFSET('HARGA SATUAN'!$I$6,MATCH(RAB!C50,'HARGA SATUAN'!$C$7:$C$1492,0),0))</f>
        <v>14200</v>
      </c>
      <c r="H50" s="361">
        <f t="shared" ca="1" si="20"/>
        <v>127800</v>
      </c>
      <c r="I50" s="361">
        <f t="shared" ca="1" si="21"/>
        <v>0</v>
      </c>
      <c r="J50" s="361">
        <f t="shared" ca="1" si="22"/>
        <v>0</v>
      </c>
      <c r="K50" s="362">
        <f t="shared" ca="1" si="23"/>
        <v>127800</v>
      </c>
    </row>
    <row r="51" spans="2:11">
      <c r="B51" s="516"/>
      <c r="C51" s="511" t="s">
        <v>1621</v>
      </c>
      <c r="D51" s="358" t="s">
        <v>1623</v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497">
        <f>F47*3</f>
        <v>3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si="20"/>
        <v>0</v>
      </c>
      <c r="I51" s="361">
        <f t="shared" si="21"/>
        <v>0</v>
      </c>
      <c r="J51" s="361">
        <f t="shared" si="22"/>
        <v>0</v>
      </c>
      <c r="K51" s="362">
        <f t="shared" si="23"/>
        <v>0</v>
      </c>
    </row>
    <row r="52" spans="2:11">
      <c r="B52" s="516">
        <v>3</v>
      </c>
      <c r="C52" s="109" t="s">
        <v>559</v>
      </c>
      <c r="D52" s="358" t="s">
        <v>1623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7">
        <f>F47*3</f>
        <v>3</v>
      </c>
      <c r="G52" s="360">
        <f ca="1">IF(ISERROR(OFFSET('HARGA SATUAN'!$I$6,MATCH(RAB!C52,'HARGA SATUAN'!$C$7:$C$1492,0),0)),0,OFFSET('HARGA SATUAN'!$I$6,MATCH(RAB!C52,'HARGA SATUAN'!$C$7:$C$1492,0),0))</f>
        <v>725900</v>
      </c>
      <c r="H52" s="361">
        <f t="shared" si="20"/>
        <v>0</v>
      </c>
      <c r="I52" s="361">
        <f t="shared" si="21"/>
        <v>0</v>
      </c>
      <c r="J52" s="361">
        <f t="shared" si="22"/>
        <v>0</v>
      </c>
      <c r="K52" s="362">
        <f t="shared" si="23"/>
        <v>0</v>
      </c>
    </row>
    <row r="53" spans="2:11">
      <c r="B53" s="516">
        <v>4</v>
      </c>
      <c r="C53" s="517" t="s">
        <v>535</v>
      </c>
      <c r="D53" s="358" t="s">
        <v>1623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7">
        <f>F47*3</f>
        <v>3</v>
      </c>
      <c r="G53" s="360">
        <f ca="1">IF(ISERROR(OFFSET('HARGA SATUAN'!$I$6,MATCH(RAB!C53,'HARGA SATUAN'!$C$7:$C$1492,0),0)),0,OFFSET('HARGA SATUAN'!$I$6,MATCH(RAB!C53,'HARGA SATUAN'!$C$7:$C$1492,0),0))</f>
        <v>848250</v>
      </c>
      <c r="H53" s="361">
        <f t="shared" si="20"/>
        <v>0</v>
      </c>
      <c r="I53" s="361">
        <f t="shared" si="21"/>
        <v>0</v>
      </c>
      <c r="J53" s="361">
        <f t="shared" si="22"/>
        <v>0</v>
      </c>
      <c r="K53" s="362">
        <f t="shared" si="23"/>
        <v>0</v>
      </c>
    </row>
    <row r="54" spans="2:11">
      <c r="B54" s="516">
        <v>5</v>
      </c>
      <c r="C54" s="517" t="s">
        <v>55</v>
      </c>
      <c r="D54" s="358" t="s">
        <v>1623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7">
        <f>F47*3</f>
        <v>3</v>
      </c>
      <c r="G54" s="360">
        <f ca="1">IF(ISERROR(OFFSET('HARGA SATUAN'!$I$6,MATCH(RAB!C54,'HARGA SATUAN'!$C$7:$C$1492,0),0)),0,OFFSET('HARGA SATUAN'!$I$6,MATCH(RAB!C54,'HARGA SATUAN'!$C$7:$C$1492,0),0))</f>
        <v>18000</v>
      </c>
      <c r="H54" s="361">
        <f t="shared" si="20"/>
        <v>0</v>
      </c>
      <c r="I54" s="361">
        <f t="shared" si="21"/>
        <v>0</v>
      </c>
      <c r="J54" s="361">
        <f t="shared" si="22"/>
        <v>0</v>
      </c>
      <c r="K54" s="362">
        <f t="shared" si="23"/>
        <v>0</v>
      </c>
    </row>
    <row r="55" spans="2:11">
      <c r="B55" s="516">
        <v>6</v>
      </c>
      <c r="C55" s="517" t="s">
        <v>1622</v>
      </c>
      <c r="D55" s="358" t="s">
        <v>1623</v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497">
        <f>F47*13</f>
        <v>13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si="20"/>
        <v>0</v>
      </c>
      <c r="I55" s="361">
        <f t="shared" si="21"/>
        <v>0</v>
      </c>
      <c r="J55" s="361">
        <f t="shared" si="22"/>
        <v>0</v>
      </c>
      <c r="K55" s="362">
        <f t="shared" si="23"/>
        <v>0</v>
      </c>
    </row>
    <row r="56" spans="2:11">
      <c r="B56" s="516">
        <v>7</v>
      </c>
      <c r="C56" s="517" t="s">
        <v>163</v>
      </c>
      <c r="D56" s="358" t="s">
        <v>1623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7">
        <f>F47*22</f>
        <v>22</v>
      </c>
      <c r="G56" s="360">
        <f ca="1">IF(ISERROR(OFFSET('HARGA SATUAN'!$I$6,MATCH(RAB!C56,'HARGA SATUAN'!$C$7:$C$1492,0),0)),0,OFFSET('HARGA SATUAN'!$I$6,MATCH(RAB!C56,'HARGA SATUAN'!$C$7:$C$1492,0),0))</f>
        <v>7938</v>
      </c>
      <c r="H56" s="361">
        <f t="shared" si="20"/>
        <v>0</v>
      </c>
      <c r="I56" s="361">
        <f t="shared" si="21"/>
        <v>0</v>
      </c>
      <c r="J56" s="361">
        <f t="shared" si="22"/>
        <v>0</v>
      </c>
      <c r="K56" s="362">
        <f t="shared" si="23"/>
        <v>0</v>
      </c>
    </row>
    <row r="57" spans="2:11">
      <c r="B57" s="516">
        <v>8</v>
      </c>
      <c r="C57" s="517" t="s">
        <v>176</v>
      </c>
      <c r="D57" s="358" t="s">
        <v>1623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F47*1</f>
        <v>1</v>
      </c>
      <c r="G57" s="360">
        <f ca="1">IF(ISERROR(OFFSET('HARGA SATUAN'!$I$6,MATCH(RAB!C57,'HARGA SATUAN'!$C$7:$C$1492,0),0)),0,OFFSET('HARGA SATUAN'!$I$6,MATCH(RAB!C57,'HARGA SATUAN'!$C$7:$C$1492,0),0))</f>
        <v>404600</v>
      </c>
      <c r="H57" s="361">
        <f t="shared" si="20"/>
        <v>0</v>
      </c>
      <c r="I57" s="361">
        <f t="shared" si="21"/>
        <v>0</v>
      </c>
      <c r="J57" s="361">
        <f t="shared" si="22"/>
        <v>0</v>
      </c>
      <c r="K57" s="362">
        <f t="shared" si="23"/>
        <v>0</v>
      </c>
    </row>
    <row r="58" spans="2:11">
      <c r="B58" s="516">
        <v>9</v>
      </c>
      <c r="C58" s="517" t="s">
        <v>184</v>
      </c>
      <c r="D58" s="358" t="s">
        <v>1623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97">
        <f>F47*3</f>
        <v>3</v>
      </c>
      <c r="G58" s="360">
        <f ca="1">IF(ISERROR(OFFSET('HARGA SATUAN'!$I$6,MATCH(RAB!C58,'HARGA SATUAN'!$C$7:$C$1492,0),0)),0,OFFSET('HARGA SATUAN'!$I$6,MATCH(RAB!C58,'HARGA SATUAN'!$C$7:$C$1492,0),0))</f>
        <v>15900</v>
      </c>
      <c r="H58" s="361">
        <f t="shared" si="20"/>
        <v>0</v>
      </c>
      <c r="I58" s="361">
        <f t="shared" si="21"/>
        <v>0</v>
      </c>
      <c r="J58" s="361">
        <f t="shared" si="22"/>
        <v>0</v>
      </c>
      <c r="K58" s="362">
        <f t="shared" si="23"/>
        <v>0</v>
      </c>
    </row>
    <row r="59" spans="2:11">
      <c r="B59" s="516">
        <v>10</v>
      </c>
      <c r="C59" s="517" t="s">
        <v>592</v>
      </c>
      <c r="D59" s="358" t="s">
        <v>1623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97">
        <f>F47*5</f>
        <v>5</v>
      </c>
      <c r="G59" s="360">
        <f ca="1">IF(ISERROR(OFFSET('HARGA SATUAN'!$I$6,MATCH(RAB!C59,'HARGA SATUAN'!$C$7:$C$1492,0),0)),0,OFFSET('HARGA SATUAN'!$I$6,MATCH(RAB!C59,'HARGA SATUAN'!$C$7:$C$1492,0),0))</f>
        <v>283100</v>
      </c>
      <c r="H59" s="361">
        <f t="shared" si="20"/>
        <v>0</v>
      </c>
      <c r="I59" s="361">
        <f t="shared" si="21"/>
        <v>0</v>
      </c>
      <c r="J59" s="361">
        <f t="shared" si="22"/>
        <v>0</v>
      </c>
      <c r="K59" s="362">
        <f t="shared" si="23"/>
        <v>0</v>
      </c>
    </row>
    <row r="60" spans="2:11">
      <c r="B60" s="516">
        <v>11</v>
      </c>
      <c r="C60" s="517" t="s">
        <v>593</v>
      </c>
      <c r="D60" s="358" t="s">
        <v>1623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97">
        <f>F47*4</f>
        <v>4</v>
      </c>
      <c r="G60" s="360">
        <f ca="1">IF(ISERROR(OFFSET('HARGA SATUAN'!$I$6,MATCH(RAB!C60,'HARGA SATUAN'!$C$7:$C$1492,0),0)),0,OFFSET('HARGA SATUAN'!$I$6,MATCH(RAB!C60,'HARGA SATUAN'!$C$7:$C$1492,0),0))</f>
        <v>380500</v>
      </c>
      <c r="H60" s="361">
        <f t="shared" si="20"/>
        <v>0</v>
      </c>
      <c r="I60" s="361">
        <f t="shared" si="21"/>
        <v>0</v>
      </c>
      <c r="J60" s="361">
        <f t="shared" si="22"/>
        <v>0</v>
      </c>
      <c r="K60" s="362">
        <f t="shared" si="23"/>
        <v>0</v>
      </c>
    </row>
    <row r="61" spans="2:11">
      <c r="B61" s="516">
        <v>12</v>
      </c>
      <c r="C61" s="517" t="s">
        <v>208</v>
      </c>
      <c r="D61" s="358" t="s">
        <v>1623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97">
        <f>F47*3</f>
        <v>3</v>
      </c>
      <c r="G61" s="360">
        <f ca="1">IF(ISERROR(OFFSET('HARGA SATUAN'!$I$6,MATCH(RAB!C61,'HARGA SATUAN'!$C$7:$C$1492,0),0)),0,OFFSET('HARGA SATUAN'!$I$6,MATCH(RAB!C61,'HARGA SATUAN'!$C$7:$C$1492,0),0))</f>
        <v>173400</v>
      </c>
      <c r="H61" s="361">
        <f t="shared" si="20"/>
        <v>0</v>
      </c>
      <c r="I61" s="361">
        <f t="shared" si="21"/>
        <v>0</v>
      </c>
      <c r="J61" s="361">
        <f t="shared" si="22"/>
        <v>0</v>
      </c>
      <c r="K61" s="362">
        <f t="shared" si="23"/>
        <v>0</v>
      </c>
    </row>
    <row r="62" spans="2:11">
      <c r="B62" s="516">
        <v>13</v>
      </c>
      <c r="C62" s="517" t="s">
        <v>247</v>
      </c>
      <c r="D62" s="358" t="s">
        <v>1623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7">
        <f>F47*1</f>
        <v>1</v>
      </c>
      <c r="G62" s="360">
        <f ca="1">IF(ISERROR(OFFSET('HARGA SATUAN'!$I$6,MATCH(RAB!C62,'HARGA SATUAN'!$C$7:$C$1492,0),0)),0,OFFSET('HARGA SATUAN'!$I$6,MATCH(RAB!C62,'HARGA SATUAN'!$C$7:$C$1492,0),0))</f>
        <v>57690</v>
      </c>
      <c r="H62" s="361">
        <f t="shared" si="20"/>
        <v>0</v>
      </c>
      <c r="I62" s="361">
        <f t="shared" si="21"/>
        <v>0</v>
      </c>
      <c r="J62" s="361">
        <f t="shared" si="22"/>
        <v>0</v>
      </c>
      <c r="K62" s="362">
        <f t="shared" si="23"/>
        <v>0</v>
      </c>
    </row>
    <row r="63" spans="2:11">
      <c r="B63" s="516">
        <v>14</v>
      </c>
      <c r="C63" s="517" t="s">
        <v>234</v>
      </c>
      <c r="D63" s="358" t="s">
        <v>1623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7">
        <f>F47*2</f>
        <v>2</v>
      </c>
      <c r="G63" s="360">
        <f ca="1">IF(ISERROR(OFFSET('HARGA SATUAN'!$I$6,MATCH(RAB!C63,'HARGA SATUAN'!$C$7:$C$1492,0),0)),0,OFFSET('HARGA SATUAN'!$I$6,MATCH(RAB!C63,'HARGA SATUAN'!$C$7:$C$1492,0),0))</f>
        <v>67500</v>
      </c>
      <c r="H63" s="361">
        <f t="shared" si="20"/>
        <v>0</v>
      </c>
      <c r="I63" s="361">
        <f t="shared" si="21"/>
        <v>0</v>
      </c>
      <c r="J63" s="361">
        <f t="shared" si="22"/>
        <v>0</v>
      </c>
      <c r="K63" s="362">
        <f t="shared" si="23"/>
        <v>0</v>
      </c>
    </row>
    <row r="64" spans="2:11">
      <c r="B64" s="516">
        <v>15</v>
      </c>
      <c r="C64" s="517" t="s">
        <v>267</v>
      </c>
      <c r="D64" s="358" t="s">
        <v>1623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F47*2</f>
        <v>2</v>
      </c>
      <c r="G64" s="360">
        <f ca="1">IF(ISERROR(OFFSET('HARGA SATUAN'!$I$6,MATCH(RAB!C64,'HARGA SATUAN'!$C$7:$C$1492,0),0)),0,OFFSET('HARGA SATUAN'!$I$6,MATCH(RAB!C64,'HARGA SATUAN'!$C$7:$C$1492,0),0))</f>
        <v>129000</v>
      </c>
      <c r="H64" s="361">
        <f t="shared" si="20"/>
        <v>0</v>
      </c>
      <c r="I64" s="361">
        <f t="shared" si="21"/>
        <v>0</v>
      </c>
      <c r="J64" s="361">
        <f t="shared" si="22"/>
        <v>0</v>
      </c>
      <c r="K64" s="362">
        <f t="shared" si="23"/>
        <v>0</v>
      </c>
    </row>
    <row r="65" spans="2:11">
      <c r="B65" s="516">
        <v>16</v>
      </c>
      <c r="C65" s="517" t="s">
        <v>607</v>
      </c>
      <c r="D65" s="358" t="s">
        <v>1623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497">
        <f>F47*4</f>
        <v>4</v>
      </c>
      <c r="G65" s="360">
        <f ca="1">IF(ISERROR(OFFSET('HARGA SATUAN'!$I$6,MATCH(RAB!C65,'HARGA SATUAN'!$C$7:$C$1492,0),0)),0,OFFSET('HARGA SATUAN'!$I$6,MATCH(RAB!C65,'HARGA SATUAN'!$C$7:$C$1492,0),0))</f>
        <v>250000</v>
      </c>
      <c r="H65" s="361">
        <f t="shared" si="20"/>
        <v>0</v>
      </c>
      <c r="I65" s="361">
        <f t="shared" si="21"/>
        <v>0</v>
      </c>
      <c r="J65" s="361">
        <f t="shared" si="22"/>
        <v>0</v>
      </c>
      <c r="K65" s="362">
        <f t="shared" si="23"/>
        <v>0</v>
      </c>
    </row>
    <row r="66" spans="2:11" ht="26.25">
      <c r="B66" s="510">
        <v>16</v>
      </c>
      <c r="C66" s="513" t="s">
        <v>1624</v>
      </c>
      <c r="D66" s="504" t="s">
        <v>47</v>
      </c>
      <c r="E66" s="505" t="s">
        <v>14</v>
      </c>
      <c r="F66" s="505">
        <v>1</v>
      </c>
      <c r="G66" s="506">
        <v>398500</v>
      </c>
      <c r="H66" s="361">
        <f t="shared" si="20"/>
        <v>0</v>
      </c>
      <c r="I66" s="361">
        <f t="shared" si="21"/>
        <v>0</v>
      </c>
      <c r="J66" s="361">
        <f t="shared" si="22"/>
        <v>398500</v>
      </c>
      <c r="K66" s="362">
        <f t="shared" si="23"/>
        <v>398500</v>
      </c>
    </row>
    <row r="67" spans="2:11" ht="25.5">
      <c r="B67" s="366">
        <v>17</v>
      </c>
      <c r="C67" s="514" t="s">
        <v>1625</v>
      </c>
      <c r="D67" s="504" t="s">
        <v>47</v>
      </c>
      <c r="E67" s="505" t="s">
        <v>14</v>
      </c>
      <c r="F67" s="505">
        <v>1</v>
      </c>
      <c r="G67" s="506">
        <v>560800</v>
      </c>
      <c r="H67" s="361">
        <f t="shared" si="20"/>
        <v>0</v>
      </c>
      <c r="I67" s="361">
        <f t="shared" si="21"/>
        <v>0</v>
      </c>
      <c r="J67" s="361">
        <f t="shared" si="22"/>
        <v>560800</v>
      </c>
      <c r="K67" s="362">
        <f t="shared" si="23"/>
        <v>560800</v>
      </c>
    </row>
    <row r="68" spans="2:11">
      <c r="B68" s="366"/>
      <c r="C68" s="367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493" t="s">
        <v>1609</v>
      </c>
      <c r="C69" s="496" t="s">
        <v>1611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24">IF(OR(D69="MDU",D69="MDU-KD"),(IF($O$3="RAB NON MDU","PLN KD",G69*F69)),0)</f>
        <v>0</v>
      </c>
      <c r="I69" s="361">
        <f t="shared" ref="I69" ca="1" si="25">IF(D69="HDW",G69*F69,0)</f>
        <v>0</v>
      </c>
      <c r="J69" s="361">
        <f t="shared" ref="J69" ca="1" si="26">IF(D69="JASA",G69*F69,0)</f>
        <v>0</v>
      </c>
      <c r="K69" s="362">
        <f t="shared" ref="K69" ca="1" si="27">SUM(H69:J69)</f>
        <v>0</v>
      </c>
    </row>
    <row r="70" spans="2:11">
      <c r="B70" s="493" t="s">
        <v>1035</v>
      </c>
      <c r="C70" s="494" t="s">
        <v>1629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15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5" ca="1" si="28">IF(OR(D70="MDU",D70="MDU-KD"),(IF($O$3="RAB NON MDU","PLN KD",G70*F70)),0)</f>
        <v>0</v>
      </c>
      <c r="I70" s="361">
        <f t="shared" ref="I70:I75" ca="1" si="29">IF(D70="HDW",G70*F70,0)</f>
        <v>0</v>
      </c>
      <c r="J70" s="361">
        <f t="shared" ref="J70:J75" ca="1" si="30">IF(D70="JASA",G70*F70,0)</f>
        <v>0</v>
      </c>
      <c r="K70" s="362">
        <f t="shared" ref="K70:K75" ca="1" si="31">SUM(H70:J70)</f>
        <v>0</v>
      </c>
    </row>
    <row r="71" spans="2:11" ht="30">
      <c r="B71" s="516">
        <v>1</v>
      </c>
      <c r="C71" s="109" t="s">
        <v>1196</v>
      </c>
      <c r="D71" s="358" t="s">
        <v>1617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5">
        <f>F70*1</f>
        <v>1</v>
      </c>
      <c r="G71" s="360">
        <f ca="1">IF(ISERROR(OFFSET('HARGA SATUAN'!$I$6,MATCH(RAB!C71,'HARGA SATUAN'!$C$7:$C$1492,0),0)),0,OFFSET('HARGA SATUAN'!$I$6,MATCH(RAB!C71,'HARGA SATUAN'!$C$7:$C$1492,0),0))</f>
        <v>1504200</v>
      </c>
      <c r="H71" s="361">
        <f t="shared" si="28"/>
        <v>0</v>
      </c>
      <c r="I71" s="361">
        <f t="shared" si="29"/>
        <v>0</v>
      </c>
      <c r="J71" s="361">
        <f t="shared" si="30"/>
        <v>0</v>
      </c>
      <c r="K71" s="362">
        <f t="shared" si="31"/>
        <v>0</v>
      </c>
    </row>
    <row r="72" spans="2:11">
      <c r="B72" s="516">
        <v>2</v>
      </c>
      <c r="C72" s="518" t="s">
        <v>516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5">
        <f>F70*1</f>
        <v>1</v>
      </c>
      <c r="G72" s="360">
        <f ca="1">IF(ISERROR(OFFSET('HARGA SATUAN'!$I$6,MATCH(RAB!C72,'HARGA SATUAN'!$C$7:$C$1492,0),0)),0,OFFSET('HARGA SATUAN'!$I$6,MATCH(RAB!C72,'HARGA SATUAN'!$C$7:$C$1492,0),0))</f>
        <v>13644300</v>
      </c>
      <c r="H72" s="361">
        <f t="shared" ca="1" si="28"/>
        <v>13644300</v>
      </c>
      <c r="I72" s="361">
        <f t="shared" ca="1" si="29"/>
        <v>0</v>
      </c>
      <c r="J72" s="361">
        <f t="shared" ca="1" si="30"/>
        <v>0</v>
      </c>
      <c r="K72" s="362">
        <f t="shared" ca="1" si="31"/>
        <v>13644300</v>
      </c>
    </row>
    <row r="73" spans="2:11">
      <c r="B73" s="516">
        <v>3</v>
      </c>
      <c r="C73" s="518" t="s">
        <v>1142</v>
      </c>
      <c r="D73" s="358" t="s">
        <v>1617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15">
        <f>F70*1</f>
        <v>1</v>
      </c>
      <c r="G73" s="360">
        <f ca="1">IF(ISERROR(OFFSET('HARGA SATUAN'!$I$6,MATCH(RAB!C73,'HARGA SATUAN'!$C$7:$C$1492,0),0)),0,OFFSET('HARGA SATUAN'!$I$6,MATCH(RAB!C73,'HARGA SATUAN'!$C$7:$C$1492,0),0))</f>
        <v>1113900</v>
      </c>
      <c r="H73" s="361">
        <f t="shared" si="28"/>
        <v>0</v>
      </c>
      <c r="I73" s="361">
        <f t="shared" si="29"/>
        <v>0</v>
      </c>
      <c r="J73" s="361">
        <f t="shared" si="30"/>
        <v>0</v>
      </c>
      <c r="K73" s="362">
        <f t="shared" si="31"/>
        <v>0</v>
      </c>
    </row>
    <row r="74" spans="2:11">
      <c r="B74" s="516">
        <v>4</v>
      </c>
      <c r="C74" s="109" t="s">
        <v>1459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515">
        <v>20</v>
      </c>
      <c r="G74" s="360">
        <f ca="1">IF(ISERROR(OFFSET('HARGA SATUAN'!$I$6,MATCH(RAB!C74,'HARGA SATUAN'!$C$7:$C$1492,0),0)),0,OFFSET('HARGA SATUAN'!$I$6,MATCH(RAB!C74,'HARGA SATUAN'!$C$7:$C$1492,0),0))</f>
        <v>54500</v>
      </c>
      <c r="H74" s="361">
        <f t="shared" ca="1" si="28"/>
        <v>1090000</v>
      </c>
      <c r="I74" s="361">
        <f t="shared" ca="1" si="29"/>
        <v>0</v>
      </c>
      <c r="J74" s="361">
        <f t="shared" ca="1" si="30"/>
        <v>0</v>
      </c>
      <c r="K74" s="362">
        <f t="shared" ca="1" si="31"/>
        <v>1090000</v>
      </c>
    </row>
    <row r="75" spans="2:11">
      <c r="B75" s="516">
        <v>5</v>
      </c>
      <c r="C75" s="518" t="s">
        <v>799</v>
      </c>
      <c r="D75" s="358" t="str">
        <f ca="1">IF(ISERROR(OFFSET('HARGA SATUAN'!$D$6,MATCH(RAB!C75,'HARGA SATUAN'!$C$7:$C$1492,0),0)),"",OFFSET('HARGA SATUAN'!$D$6,MATCH(RAB!C75,'HARGA SATUAN'!$C$7:$C$1492,0),0))</f>
        <v>JASA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15">
        <f>F70*1</f>
        <v>1</v>
      </c>
      <c r="G75" s="360">
        <f ca="1">IF(ISERROR(OFFSET('HARGA SATUAN'!$I$6,MATCH(RAB!C75,'HARGA SATUAN'!$C$7:$C$1492,0),0)),0,OFFSET('HARGA SATUAN'!$I$6,MATCH(RAB!C75,'HARGA SATUAN'!$C$7:$C$1492,0),0))</f>
        <v>106400</v>
      </c>
      <c r="H75" s="361">
        <f t="shared" ca="1" si="28"/>
        <v>0</v>
      </c>
      <c r="I75" s="361">
        <f t="shared" ca="1" si="29"/>
        <v>0</v>
      </c>
      <c r="J75" s="361">
        <f t="shared" ca="1" si="30"/>
        <v>106400</v>
      </c>
      <c r="K75" s="362">
        <f t="shared" ca="1" si="31"/>
        <v>106400</v>
      </c>
    </row>
    <row r="76" spans="2:11">
      <c r="B76" s="510">
        <v>6</v>
      </c>
      <c r="C76" s="518" t="s">
        <v>982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368"/>
      <c r="G76" s="360">
        <f ca="1">IF(ISERROR(OFFSET('HARGA SATUAN'!$I$6,MATCH(RAB!C76,'HARGA SATUAN'!$C$7:$C$1492,0),0)),0,OFFSET('HARGA SATUAN'!$I$6,MATCH(RAB!C76,'HARGA SATUAN'!$C$7:$C$1492,0),0))</f>
        <v>63840</v>
      </c>
      <c r="H76" s="361">
        <f t="shared" ref="H76:H81" ca="1" si="32">IF(OR(D76="MDU",D76="MDU-KD"),(IF($O$3="RAB NON MDU","PLN KD",G76*F76)),0)</f>
        <v>0</v>
      </c>
      <c r="I76" s="361">
        <f t="shared" ref="I76:I81" ca="1" si="33">IF(D76="HDW",G76*F76,0)</f>
        <v>0</v>
      </c>
      <c r="J76" s="361">
        <f t="shared" ref="J76:J81" ca="1" si="34">IF(D76="JASA",G76*F76,0)</f>
        <v>0</v>
      </c>
      <c r="K76" s="362">
        <f t="shared" ref="K76:K81" ca="1" si="35">SUM(H76:J76)</f>
        <v>0</v>
      </c>
    </row>
    <row r="77" spans="2:11">
      <c r="B77" s="510"/>
      <c r="C77" s="518"/>
      <c r="D77" s="358"/>
      <c r="E77" s="359"/>
      <c r="F77" s="368"/>
      <c r="G77" s="360"/>
      <c r="H77" s="361"/>
      <c r="I77" s="361"/>
      <c r="J77" s="361"/>
      <c r="K77" s="362"/>
    </row>
    <row r="78" spans="2:11">
      <c r="B78" s="516" t="s">
        <v>1035</v>
      </c>
      <c r="C78" s="518" t="s">
        <v>1631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19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32"/>
        <v>0</v>
      </c>
      <c r="I78" s="361">
        <f t="shared" ca="1" si="33"/>
        <v>0</v>
      </c>
      <c r="J78" s="361">
        <f t="shared" ca="1" si="34"/>
        <v>0</v>
      </c>
      <c r="K78" s="362">
        <f t="shared" ca="1" si="35"/>
        <v>0</v>
      </c>
    </row>
    <row r="79" spans="2:11">
      <c r="B79" s="516">
        <v>1</v>
      </c>
      <c r="C79" s="518" t="s">
        <v>115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Set</v>
      </c>
      <c r="F79" s="519">
        <f>F78*1</f>
        <v>1</v>
      </c>
      <c r="G79" s="360">
        <f ca="1">IF(ISERROR(OFFSET('HARGA SATUAN'!$I$6,MATCH(RAB!C79,'HARGA SATUAN'!$C$7:$C$1492,0),0)),0,OFFSET('HARGA SATUAN'!$I$6,MATCH(RAB!C79,'HARGA SATUAN'!$C$7:$C$1492,0),0))</f>
        <v>11500</v>
      </c>
      <c r="H79" s="361">
        <f t="shared" ca="1" si="32"/>
        <v>0</v>
      </c>
      <c r="I79" s="361">
        <f t="shared" ca="1" si="33"/>
        <v>11500</v>
      </c>
      <c r="J79" s="361">
        <f t="shared" ca="1" si="34"/>
        <v>0</v>
      </c>
      <c r="K79" s="362">
        <f t="shared" ca="1" si="35"/>
        <v>11500</v>
      </c>
    </row>
    <row r="80" spans="2:11">
      <c r="B80" s="516">
        <v>2</v>
      </c>
      <c r="C80" s="518" t="s">
        <v>145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9">
        <f>F78*1</f>
        <v>1</v>
      </c>
      <c r="G80" s="360">
        <f ca="1">IF(ISERROR(OFFSET('HARGA SATUAN'!$I$6,MATCH(RAB!C80,'HARGA SATUAN'!$C$7:$C$1492,0),0)),0,OFFSET('HARGA SATUAN'!$I$6,MATCH(RAB!C80,'HARGA SATUAN'!$C$7:$C$1492,0),0))</f>
        <v>6200</v>
      </c>
      <c r="H80" s="361">
        <f t="shared" ca="1" si="32"/>
        <v>0</v>
      </c>
      <c r="I80" s="361">
        <f t="shared" ca="1" si="33"/>
        <v>6200</v>
      </c>
      <c r="J80" s="361">
        <f t="shared" ca="1" si="34"/>
        <v>0</v>
      </c>
      <c r="K80" s="362">
        <f t="shared" ca="1" si="35"/>
        <v>6200</v>
      </c>
    </row>
    <row r="81" spans="2:13">
      <c r="B81" s="516">
        <v>3</v>
      </c>
      <c r="C81" s="518" t="s">
        <v>587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Btg</v>
      </c>
      <c r="F81" s="519">
        <f>F78*1</f>
        <v>1</v>
      </c>
      <c r="G81" s="360">
        <f ca="1">IF(ISERROR(OFFSET('HARGA SATUAN'!$I$6,MATCH(RAB!C81,'HARGA SATUAN'!$C$7:$C$1492,0),0)),0,OFFSET('HARGA SATUAN'!$I$6,MATCH(RAB!C81,'HARGA SATUAN'!$C$7:$C$1492,0),0))</f>
        <v>45796</v>
      </c>
      <c r="H81" s="361">
        <f t="shared" ca="1" si="32"/>
        <v>0</v>
      </c>
      <c r="I81" s="361">
        <f t="shared" ca="1" si="33"/>
        <v>45796</v>
      </c>
      <c r="J81" s="361">
        <f t="shared" ca="1" si="34"/>
        <v>0</v>
      </c>
      <c r="K81" s="362">
        <f t="shared" ca="1" si="35"/>
        <v>45796</v>
      </c>
    </row>
    <row r="82" spans="2:13">
      <c r="B82" s="516">
        <v>4</v>
      </c>
      <c r="C82" s="518" t="s">
        <v>118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9">
        <f>F78*1</f>
        <v>1</v>
      </c>
      <c r="G82" s="360">
        <f ca="1">IF(ISERROR(OFFSET('HARGA SATUAN'!$I$6,MATCH(RAB!C82,'HARGA SATUAN'!$C$7:$C$1492,0),0)),0,OFFSET('HARGA SATUAN'!$I$6,MATCH(RAB!C82,'HARGA SATUAN'!$C$7:$C$1492,0),0))</f>
        <v>5300</v>
      </c>
      <c r="H82" s="361">
        <f t="shared" ref="H82:H88" ca="1" si="36">IF(OR(D82="MDU",D82="MDU-KD"),(IF($O$3="RAB NON MDU","PLN KD",G82*F82)),0)</f>
        <v>0</v>
      </c>
      <c r="I82" s="361">
        <f t="shared" ref="I82:I88" ca="1" si="37">IF(D82="HDW",G82*F82,0)</f>
        <v>5300</v>
      </c>
      <c r="J82" s="361">
        <f t="shared" ref="J82:J88" ca="1" si="38">IF(D82="JASA",G82*F82,0)</f>
        <v>0</v>
      </c>
      <c r="K82" s="362">
        <f t="shared" ref="K82:K88" ca="1" si="39">SUM(H82:J82)</f>
        <v>5300</v>
      </c>
    </row>
    <row r="83" spans="2:13">
      <c r="B83" s="516">
        <v>5</v>
      </c>
      <c r="C83" s="518" t="s">
        <v>117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9">
        <f>F78*1</f>
        <v>1</v>
      </c>
      <c r="G83" s="360">
        <f ca="1">IF(ISERROR(OFFSET('HARGA SATUAN'!$I$6,MATCH(RAB!C83,'HARGA SATUAN'!$C$7:$C$1492,0),0)),0,OFFSET('HARGA SATUAN'!$I$6,MATCH(RAB!C83,'HARGA SATUAN'!$C$7:$C$1492,0),0))</f>
        <v>58600</v>
      </c>
      <c r="H83" s="361">
        <f t="shared" ca="1" si="36"/>
        <v>0</v>
      </c>
      <c r="I83" s="361">
        <f t="shared" ca="1" si="37"/>
        <v>58600</v>
      </c>
      <c r="J83" s="361">
        <f t="shared" ca="1" si="38"/>
        <v>0</v>
      </c>
      <c r="K83" s="362">
        <f t="shared" ca="1" si="39"/>
        <v>58600</v>
      </c>
    </row>
    <row r="84" spans="2:13">
      <c r="B84" s="516">
        <v>6</v>
      </c>
      <c r="C84" s="109" t="s">
        <v>1155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9">
        <f>F78*2</f>
        <v>2</v>
      </c>
      <c r="G84" s="360">
        <f ca="1">IF(ISERROR(OFFSET('HARGA SATUAN'!$I$6,MATCH(RAB!C84,'HARGA SATUAN'!$C$7:$C$1492,0),0)),0,OFFSET('HARGA SATUAN'!$I$6,MATCH(RAB!C84,'HARGA SATUAN'!$C$7:$C$1492,0),0))</f>
        <v>2900</v>
      </c>
      <c r="H84" s="361">
        <f t="shared" ca="1" si="36"/>
        <v>0</v>
      </c>
      <c r="I84" s="361">
        <f t="shared" ca="1" si="37"/>
        <v>5800</v>
      </c>
      <c r="J84" s="361">
        <f t="shared" ca="1" si="38"/>
        <v>0</v>
      </c>
      <c r="K84" s="362">
        <f t="shared" ca="1" si="39"/>
        <v>5800</v>
      </c>
    </row>
    <row r="85" spans="2:13">
      <c r="B85" s="516">
        <v>7</v>
      </c>
      <c r="C85" s="518" t="s">
        <v>119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9">
        <f>F78*4</f>
        <v>4</v>
      </c>
      <c r="G85" s="360">
        <f ca="1">IF(ISERROR(OFFSET('HARGA SATUAN'!$I$6,MATCH(RAB!C85,'HARGA SATUAN'!$C$7:$C$1492,0),0)),0,OFFSET('HARGA SATUAN'!$I$6,MATCH(RAB!C85,'HARGA SATUAN'!$C$7:$C$1492,0),0))</f>
        <v>8900</v>
      </c>
      <c r="H85" s="361">
        <f t="shared" ca="1" si="36"/>
        <v>0</v>
      </c>
      <c r="I85" s="361">
        <f t="shared" ca="1" si="37"/>
        <v>35600</v>
      </c>
      <c r="J85" s="361">
        <f t="shared" ca="1" si="38"/>
        <v>0</v>
      </c>
      <c r="K85" s="362">
        <f t="shared" ca="1" si="39"/>
        <v>35600</v>
      </c>
    </row>
    <row r="86" spans="2:13">
      <c r="B86" s="502"/>
      <c r="C86" s="503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36"/>
        <v>0</v>
      </c>
      <c r="I86" s="361">
        <f t="shared" ca="1" si="37"/>
        <v>0</v>
      </c>
      <c r="J86" s="361">
        <f t="shared" ca="1" si="38"/>
        <v>0</v>
      </c>
      <c r="K86" s="362">
        <f t="shared" ca="1" si="39"/>
        <v>0</v>
      </c>
    </row>
    <row r="87" spans="2:13">
      <c r="B87" s="366" t="s">
        <v>22</v>
      </c>
      <c r="C87" s="367" t="s">
        <v>1610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36"/>
        <v>0</v>
      </c>
      <c r="I87" s="361">
        <f t="shared" ca="1" si="37"/>
        <v>0</v>
      </c>
      <c r="J87" s="361">
        <f t="shared" ca="1" si="38"/>
        <v>0</v>
      </c>
      <c r="K87" s="362">
        <f t="shared" ca="1" si="39"/>
        <v>0</v>
      </c>
    </row>
    <row r="88" spans="2:13">
      <c r="B88" s="373"/>
      <c r="C88" s="372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36"/>
        <v>0</v>
      </c>
      <c r="I88" s="361">
        <f t="shared" ca="1" si="37"/>
        <v>0</v>
      </c>
      <c r="J88" s="361">
        <f t="shared" ca="1" si="38"/>
        <v>0</v>
      </c>
      <c r="K88" s="362">
        <f t="shared" ca="1" si="39"/>
        <v>0</v>
      </c>
    </row>
    <row r="89" spans="2:13">
      <c r="B89" s="374"/>
      <c r="C89" s="375" t="s">
        <v>475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ref="H89" ca="1" si="40">IF(OR(D89="MDU",D89="MDU-KD"),(IF($O$3="RAB NON MDU","PLN KD",G89*F89)),0)</f>
        <v>0</v>
      </c>
      <c r="I89" s="361">
        <f t="shared" ref="I89" ca="1" si="41">IF(D89="HDW",G89*F89,0)</f>
        <v>0</v>
      </c>
      <c r="J89" s="361">
        <f t="shared" ref="J89" ca="1" si="42">IF(D89="JASA",G89*F89,0)</f>
        <v>0</v>
      </c>
      <c r="K89" s="362">
        <f t="shared" ref="K89" ca="1" si="43">SUM(H89:J89)</f>
        <v>0</v>
      </c>
    </row>
    <row r="90" spans="2:13">
      <c r="B90" s="377">
        <v>1</v>
      </c>
      <c r="C90" s="378" t="s">
        <v>1091</v>
      </c>
      <c r="D90" s="379" t="str">
        <f ca="1">IF(ISERROR(OFFSET('HARGA SATUAN'!$D$6,MATCH(RAB!C90,'HARGA SATUAN'!$C$7:$C$1492,0),0)),"",OFFSET('HARGA SATUAN'!$D$6,MATCH(RAB!C90,'HARGA SATUAN'!$C$7:$C$1492,0),0))</f>
        <v>JASA</v>
      </c>
      <c r="E90" s="380" t="str">
        <f ca="1">IF(ISERROR(OFFSET('HARGA SATUAN'!$E$6,MATCH(RAB!C90,'HARGA SATUAN'!$C$7:$C$1492,0),0)),"",OFFSET('HARGA SATUAN'!$E$6,MATCH(RAB!C90,'HARGA SATUAN'!$C$7:$C$1492,0),0))</f>
        <v>Lot</v>
      </c>
      <c r="F90" s="381">
        <v>1</v>
      </c>
      <c r="G90" s="382">
        <f ca="1">IF(ISERROR(OFFSET('HARGA SATUAN'!$I$6,MATCH(RAB!C90,'HARGA SATUAN'!$C$7:$C$1492,0),0)),0,OFFSET('HARGA SATUAN'!$I$6,MATCH(RAB!C90,'HARGA SATUAN'!$C$7:$C$1492,0),0))</f>
        <v>2.5000000000000001E-2</v>
      </c>
      <c r="H90" s="383"/>
      <c r="I90" s="383"/>
      <c r="J90" s="383">
        <f ca="1">SUM(K15:K17)*G90</f>
        <v>0</v>
      </c>
      <c r="K90" s="384">
        <f ca="1">SUM(H90:J90)</f>
        <v>0</v>
      </c>
    </row>
    <row r="91" spans="2:13">
      <c r="B91" s="385"/>
      <c r="C91" s="386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IF(ISERROR(OFFSET('HARGA SATUAN'!$E$6,MATCH(RAB!C91,'HARGA SATUAN'!$C$7:$C$1492,0),0)),"",OFFSET('HARGA SATUAN'!$E$6,MATCH(RAB!C91,'HARGA SATUAN'!$C$7:$C$1492,0),0))</f>
        <v/>
      </c>
      <c r="F91" s="376"/>
      <c r="G91" s="360" t="str">
        <f ca="1">IF(ISERROR(OFFSET('HARGA SATUAN'!$I$6,MATCH(RAB!C91,'HARGA SATUAN'!$C$7:$C$1492,0),0)),"",OFFSET('HARGA SATUAN'!$I$6,MATCH(RAB!C91,'HARGA SATUAN'!$C$7:$C$1492,0),0))</f>
        <v/>
      </c>
      <c r="H91" s="361">
        <f ca="1">IF(OR(D91="MDU",D91="MDU-KD"),IF(G91="PLN",0,G91*F91),0)</f>
        <v>0</v>
      </c>
      <c r="I91" s="361">
        <f ca="1">IF(D91="HDW",IF(G91="PLN",0,G91*F91),0)</f>
        <v>0</v>
      </c>
      <c r="J91" s="361">
        <f ca="1">IF(D91="JASA",IF(G91="PLN",0,G91*F91),0)</f>
        <v>0</v>
      </c>
      <c r="K91" s="362">
        <f ca="1">SUM(H91:J91)</f>
        <v>0</v>
      </c>
    </row>
    <row r="92" spans="2:13" ht="15.75" thickBot="1">
      <c r="B92" s="387"/>
      <c r="C92" s="388"/>
      <c r="D92" s="389"/>
      <c r="E92" s="390"/>
      <c r="F92" s="390"/>
      <c r="G92" s="390"/>
      <c r="H92" s="391"/>
      <c r="I92" s="391"/>
      <c r="J92" s="391"/>
      <c r="K92" s="392"/>
    </row>
    <row r="93" spans="2:13">
      <c r="B93" s="393"/>
      <c r="C93" s="638" t="s">
        <v>1008</v>
      </c>
      <c r="D93" s="638"/>
      <c r="E93" s="638"/>
      <c r="F93" s="638"/>
      <c r="G93" s="394" t="s">
        <v>9</v>
      </c>
      <c r="H93" s="395">
        <f ca="1">SUM(H14:H91)</f>
        <v>76060700</v>
      </c>
      <c r="I93" s="395">
        <f ca="1">SUM(I14:I91)</f>
        <v>620370.24</v>
      </c>
      <c r="J93" s="395">
        <f ca="1">SUM(J14:J91)</f>
        <v>1378600</v>
      </c>
      <c r="K93" s="395">
        <f ca="1">SUM(K14:K91)</f>
        <v>78059670.24000001</v>
      </c>
    </row>
    <row r="94" spans="2:13">
      <c r="B94" s="396"/>
      <c r="C94" s="621" t="s">
        <v>1457</v>
      </c>
      <c r="D94" s="621"/>
      <c r="E94" s="621"/>
      <c r="F94" s="621"/>
      <c r="G94" s="397" t="s">
        <v>9</v>
      </c>
      <c r="H94" s="398">
        <f ca="1">H93*0.11</f>
        <v>8366677</v>
      </c>
      <c r="I94" s="398">
        <f ca="1">I93*0.11</f>
        <v>68240.7264</v>
      </c>
      <c r="J94" s="398">
        <f ca="1">J93*0.11</f>
        <v>151646</v>
      </c>
      <c r="K94" s="398">
        <f ca="1">K93*0.11</f>
        <v>8586563.726400001</v>
      </c>
    </row>
    <row r="95" spans="2:13" ht="15.75" thickBot="1">
      <c r="B95" s="396"/>
      <c r="C95" s="619" t="s">
        <v>463</v>
      </c>
      <c r="D95" s="619"/>
      <c r="E95" s="619"/>
      <c r="F95" s="619"/>
      <c r="G95" s="399" t="s">
        <v>9</v>
      </c>
      <c r="H95" s="400">
        <f ca="1">SUM(H93:H94)</f>
        <v>84427377</v>
      </c>
      <c r="I95" s="400">
        <f ca="1">SUM(I93:I94)</f>
        <v>688610.96640000003</v>
      </c>
      <c r="J95" s="399">
        <f ca="1">SUM(J93:J94)</f>
        <v>1530246</v>
      </c>
      <c r="K95" s="399">
        <f ca="1">SUM(K93:K94)</f>
        <v>86646233.966400012</v>
      </c>
      <c r="M95" s="482"/>
    </row>
    <row r="96" spans="2:13">
      <c r="B96" s="622" t="str">
        <f ca="1">"Terbilang : "&amp;PROPER(IF(K95=0,"nol",IF(K95&lt;0,"minus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IF(--MID(TEXT(ABS(K95),"000000000000000"),1,3)=0,"",MID(TEXT(ABS(K95),"000000000000000"),1,1)&amp;" ratus "&amp;MID(TEXT(ABS(K95),"000000000000000"),2,1)&amp;" puluh "&amp;MID(TEXT(ABS(K95),"000000000000000"),3,1)&amp;" trilyun ")&amp; IF(--MID(TEXT(ABS(K95),"000000000000000"),4,3)=0,"",MID(TEXT(ABS(K95),"000000000000000"),4,1)&amp;" ratus "&amp;MID(TEXT(ABS(K95),"000000000000000"),5,1)&amp;" puluh "&amp;MID(TEXT(ABS(K95),"000000000000000"),6,1)&amp;" milyar ")&amp; IF(--MID(TEXT(ABS(K95),"000000000000000"),7,3)=0,"",MID(TEXT(ABS(K95),"000000000000000"),7,1)&amp;" ratus "&amp;MID(TEXT(ABS(K95),"000000000000000"),8,1)&amp;" puluh "&amp;MID(TEXT(ABS(K95),"000000000000000"),9,1)&amp;" juta ")&amp; 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 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Enam Juta Enam Ratus Empat Puluh Enam Ribu Dua Ratus Tiga Puluh Empat Rupiah</v>
      </c>
      <c r="C96" s="623"/>
      <c r="D96" s="623"/>
      <c r="E96" s="623"/>
      <c r="F96" s="623"/>
      <c r="G96" s="623"/>
      <c r="H96" s="623"/>
      <c r="I96" s="623"/>
      <c r="J96" s="623"/>
      <c r="K96" s="624"/>
    </row>
    <row r="97" spans="2:11">
      <c r="B97" s="625"/>
      <c r="C97" s="626"/>
      <c r="D97" s="626"/>
      <c r="E97" s="626"/>
      <c r="F97" s="626"/>
      <c r="G97" s="626"/>
      <c r="H97" s="626"/>
      <c r="I97" s="626"/>
      <c r="J97" s="626"/>
      <c r="K97" s="627"/>
    </row>
    <row r="98" spans="2:11" ht="15.75" thickBot="1">
      <c r="B98" s="401" t="str">
        <f>"Harga yang dipakai adalah "&amp;'HARGA SATUAN'!I5&amp;""</f>
        <v>Harga yang dipakai adalah RAB HSS 2023</v>
      </c>
      <c r="C98" s="402"/>
      <c r="D98" s="403"/>
      <c r="E98" s="403"/>
      <c r="F98" s="403"/>
      <c r="G98" s="404"/>
      <c r="H98" s="404"/>
      <c r="I98" s="404"/>
      <c r="J98" s="404"/>
      <c r="K98" s="405"/>
    </row>
    <row r="99" spans="2:11">
      <c r="C99" s="406"/>
      <c r="E99" s="408"/>
      <c r="F99" s="408"/>
      <c r="G99" s="408"/>
    </row>
    <row r="100" spans="2:11">
      <c r="C100" s="337"/>
      <c r="E100" s="408"/>
      <c r="F100" s="408"/>
      <c r="G100" s="408"/>
      <c r="H100" s="628"/>
      <c r="I100" s="628"/>
      <c r="J100" s="629"/>
      <c r="K100" s="629"/>
    </row>
    <row r="101" spans="2:11">
      <c r="C101" s="337"/>
      <c r="E101" s="408"/>
      <c r="F101" s="408"/>
      <c r="G101" s="408"/>
      <c r="H101" s="409"/>
      <c r="I101" s="618" t="s">
        <v>1633</v>
      </c>
      <c r="J101" s="618"/>
      <c r="K101" s="618"/>
    </row>
    <row r="102" spans="2:11">
      <c r="C102" s="337"/>
      <c r="E102" s="408"/>
      <c r="F102" s="408"/>
      <c r="G102" s="408"/>
      <c r="H102" s="409"/>
      <c r="I102" s="618" t="s">
        <v>1634</v>
      </c>
      <c r="J102" s="618"/>
      <c r="K102" s="618"/>
    </row>
    <row r="103" spans="2:11">
      <c r="C103" s="337"/>
      <c r="E103" s="408"/>
      <c r="F103" s="408"/>
      <c r="G103" s="408"/>
      <c r="H103" s="410"/>
      <c r="I103" s="411"/>
      <c r="J103" s="411"/>
      <c r="K103" s="411"/>
    </row>
    <row r="104" spans="2:11">
      <c r="C104" s="337"/>
      <c r="E104" s="408"/>
      <c r="F104" s="408"/>
      <c r="G104" s="408"/>
      <c r="H104" s="410"/>
      <c r="I104" s="410"/>
      <c r="J104" s="410"/>
      <c r="K104" s="410"/>
    </row>
    <row r="105" spans="2:11">
      <c r="C105" s="337"/>
      <c r="E105" s="408"/>
      <c r="F105" s="408"/>
      <c r="G105" s="408"/>
      <c r="H105" s="410"/>
      <c r="I105" s="410"/>
      <c r="J105" s="410"/>
      <c r="K105" s="410"/>
    </row>
    <row r="106" spans="2:11">
      <c r="C106" s="337"/>
      <c r="E106" s="408"/>
      <c r="F106" s="408"/>
      <c r="G106" s="408"/>
      <c r="H106" s="410"/>
      <c r="I106" s="410"/>
      <c r="J106" s="410"/>
      <c r="K106" s="410"/>
    </row>
    <row r="107" spans="2:11">
      <c r="C107" s="337"/>
      <c r="E107" s="408"/>
      <c r="F107" s="408"/>
      <c r="G107" s="408"/>
      <c r="H107" s="412"/>
      <c r="I107" s="618" t="s">
        <v>1635</v>
      </c>
      <c r="J107" s="618"/>
      <c r="K107" s="618"/>
    </row>
    <row r="108" spans="2:11">
      <c r="C108" s="406"/>
      <c r="E108" s="408"/>
      <c r="F108" s="408"/>
      <c r="G108" s="408"/>
      <c r="H108" s="410"/>
      <c r="I108" s="410"/>
      <c r="J108" s="410"/>
      <c r="K108" s="410"/>
    </row>
    <row r="109" spans="2:11">
      <c r="C109" s="406"/>
      <c r="E109" s="408"/>
      <c r="F109" s="408"/>
      <c r="G109" s="408"/>
      <c r="H109" s="410"/>
      <c r="I109" s="410"/>
      <c r="J109" s="410"/>
      <c r="K109" s="410"/>
    </row>
    <row r="110" spans="2:11">
      <c r="C110" s="406"/>
      <c r="E110" s="408"/>
      <c r="F110" s="408"/>
      <c r="G110" s="408"/>
      <c r="H110" s="410"/>
      <c r="I110" s="410"/>
      <c r="J110" s="410"/>
      <c r="K110" s="410"/>
    </row>
  </sheetData>
  <sheetProtection sort="0" autoFilter="0"/>
  <protectedRanges>
    <protectedRange sqref="B88 B70:B86" name="Range1_1"/>
    <protectedRange sqref="F14:F41 F43:F65 F68:F89" name="Range1_1_2_2"/>
    <protectedRange sqref="C88 C70:C73" name="Range1_1_1"/>
    <protectedRange sqref="C75:C86" name="Range1_1_3_2"/>
    <protectedRange sqref="C16" name="Range1_1_3"/>
    <protectedRange sqref="G42" name="Range1_3_7"/>
    <protectedRange sqref="C49" name="Range1_1_3_1"/>
    <protectedRange sqref="G66" name="Range1_3_7_1"/>
    <protectedRange sqref="G67" name="Range1_3_7_2"/>
    <protectedRange sqref="C41 C74" name="Range1_1_3_8"/>
    <protectedRange sqref="C42" name="Range1_1_3_10"/>
  </protectedRanges>
  <mergeCells count="22">
    <mergeCell ref="O3:P4"/>
    <mergeCell ref="B4:K4"/>
    <mergeCell ref="C93:F93"/>
    <mergeCell ref="B11:B13"/>
    <mergeCell ref="C11:C13"/>
    <mergeCell ref="D11:D13"/>
    <mergeCell ref="E11:E13"/>
    <mergeCell ref="F11:F13"/>
    <mergeCell ref="G11:G13"/>
    <mergeCell ref="I12:I13"/>
    <mergeCell ref="I102:K102"/>
    <mergeCell ref="I107:K107"/>
    <mergeCell ref="C95:F95"/>
    <mergeCell ref="G6:K6"/>
    <mergeCell ref="I101:K101"/>
    <mergeCell ref="C94:F94"/>
    <mergeCell ref="B96:K97"/>
    <mergeCell ref="H100:K100"/>
    <mergeCell ref="H11:K11"/>
    <mergeCell ref="H12:H13"/>
    <mergeCell ref="J12:J13"/>
    <mergeCell ref="K12:K13"/>
  </mergeCells>
  <phoneticPr fontId="139" type="noConversion"/>
  <conditionalFormatting sqref="C15:C17">
    <cfRule type="cellIs" dxfId="17" priority="44" operator="equal">
      <formula>0</formula>
    </cfRule>
  </conditionalFormatting>
  <conditionalFormatting sqref="C41:C42">
    <cfRule type="cellIs" dxfId="16" priority="8" operator="equal">
      <formula>0</formula>
    </cfRule>
  </conditionalFormatting>
  <conditionalFormatting sqref="C46 C68">
    <cfRule type="cellIs" dxfId="15" priority="132" operator="equal">
      <formula>0</formula>
    </cfRule>
  </conditionalFormatting>
  <conditionalFormatting sqref="S14:V17 E14:K41 E43:K46 E47:E65 G47:K65 E68:K77">
    <cfRule type="cellIs" dxfId="14" priority="17" stopIfTrue="1" operator="equal">
      <formula>0</formula>
    </cfRule>
  </conditionalFormatting>
  <conditionalFormatting sqref="C87">
    <cfRule type="cellIs" dxfId="13" priority="38" operator="equal">
      <formula>0</formula>
    </cfRule>
  </conditionalFormatting>
  <conditionalFormatting sqref="C66:G67">
    <cfRule type="cellIs" dxfId="12" priority="18" operator="equal">
      <formula>0</formula>
    </cfRule>
  </conditionalFormatting>
  <conditionalFormatting sqref="D42:G42">
    <cfRule type="cellIs" dxfId="11" priority="31" operator="equal">
      <formula>0</formula>
    </cfRule>
  </conditionalFormatting>
  <conditionalFormatting sqref="E1:E3 G1:G13 E5:E13 H12:I12 O13 H42:K42 E90:G90 H90:K92 E91:H91 E92:F92">
    <cfRule type="cellIs" dxfId="10" priority="1087" stopIfTrue="1" operator="equal">
      <formula>0</formula>
    </cfRule>
  </conditionalFormatting>
  <conditionalFormatting sqref="E86:K89 E78:E85 G78:K85">
    <cfRule type="cellIs" dxfId="9" priority="11" stopIfTrue="1" operator="equal">
      <formula>0</formula>
    </cfRule>
  </conditionalFormatting>
  <conditionalFormatting sqref="G91:G65557 E96:E65557">
    <cfRule type="cellIs" dxfId="8" priority="221" stopIfTrue="1" operator="equal">
      <formula>0</formula>
    </cfRule>
  </conditionalFormatting>
  <conditionalFormatting sqref="H66:K67">
    <cfRule type="cellIs" dxfId="7" priority="26" stopIfTrue="1" operator="equal">
      <formula>0</formula>
    </cfRule>
  </conditionalFormatting>
  <conditionalFormatting sqref="C48">
    <cfRule type="cellIs" dxfId="6" priority="7" operator="equal">
      <formula>0</formula>
    </cfRule>
  </conditionalFormatting>
  <conditionalFormatting sqref="C52">
    <cfRule type="cellIs" dxfId="5" priority="6" operator="equal">
      <formula>0</formula>
    </cfRule>
  </conditionalFormatting>
  <conditionalFormatting sqref="F47:F65">
    <cfRule type="cellIs" dxfId="4" priority="5" stopIfTrue="1" operator="equal">
      <formula>0</formula>
    </cfRule>
  </conditionalFormatting>
  <conditionalFormatting sqref="C71">
    <cfRule type="cellIs" dxfId="3" priority="4" operator="equal">
      <formula>0</formula>
    </cfRule>
  </conditionalFormatting>
  <conditionalFormatting sqref="C74">
    <cfRule type="cellIs" dxfId="2" priority="3" operator="equal">
      <formula>0</formula>
    </cfRule>
  </conditionalFormatting>
  <conditionalFormatting sqref="C84">
    <cfRule type="cellIs" dxfId="1" priority="2" operator="equal">
      <formula>0</formula>
    </cfRule>
  </conditionalFormatting>
  <conditionalFormatting sqref="F78:F85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19:F31 F33:F38 C49:C51 F47:F65 H14:K9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2 D66:D67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1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1" t="s">
        <v>1439</v>
      </c>
      <c r="X2" s="702"/>
      <c r="Y2" s="702"/>
      <c r="Z2" s="702"/>
      <c r="AA2" s="702"/>
      <c r="AB2" s="702"/>
      <c r="AC2" s="702"/>
      <c r="AD2" s="703"/>
    </row>
    <row r="3" spans="3:30">
      <c r="C3" s="238"/>
      <c r="W3" s="704"/>
      <c r="X3" s="705"/>
      <c r="Y3" s="705"/>
      <c r="Z3" s="705"/>
      <c r="AA3" s="705"/>
      <c r="AB3" s="705"/>
      <c r="AC3" s="705"/>
      <c r="AD3" s="70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8" t="s">
        <v>1632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99"/>
      <c r="Y19" s="699"/>
      <c r="Z19" s="699"/>
      <c r="AA19" s="699"/>
      <c r="AB19" s="699"/>
      <c r="AC19" s="699"/>
      <c r="AD19" s="700"/>
    </row>
    <row r="20" spans="3:30">
      <c r="C20" s="238"/>
      <c r="W20" s="686" t="s">
        <v>992</v>
      </c>
      <c r="X20" s="687"/>
      <c r="Y20" s="687"/>
      <c r="Z20" s="687"/>
      <c r="AA20" s="687"/>
      <c r="AB20" s="687"/>
      <c r="AC20" s="687"/>
      <c r="AD20" s="688"/>
    </row>
    <row r="21" spans="3:30">
      <c r="C21" s="238"/>
      <c r="W21" s="689" t="s">
        <v>985</v>
      </c>
      <c r="X21" s="690"/>
      <c r="Y21" s="690"/>
      <c r="Z21" s="691"/>
      <c r="AA21" s="692" t="s">
        <v>986</v>
      </c>
      <c r="AB21" s="693"/>
      <c r="AC21" s="693"/>
      <c r="AD21" s="694"/>
    </row>
    <row r="22" spans="3:30">
      <c r="C22" s="238"/>
      <c r="W22" s="695"/>
      <c r="X22" s="696"/>
      <c r="Y22" s="490"/>
      <c r="Z22" s="491"/>
      <c r="AA22" s="697"/>
      <c r="AB22" s="698"/>
      <c r="AC22" s="248"/>
      <c r="AD22" s="249"/>
    </row>
    <row r="23" spans="3:30">
      <c r="C23" s="238"/>
      <c r="W23" s="695"/>
      <c r="X23" s="696"/>
      <c r="Y23" s="490"/>
      <c r="Z23" s="491"/>
      <c r="AA23" s="684"/>
      <c r="AB23" s="685"/>
      <c r="AC23" s="248"/>
      <c r="AD23" s="249"/>
    </row>
    <row r="24" spans="3:30">
      <c r="C24" s="238"/>
      <c r="W24" s="679"/>
      <c r="X24" s="681"/>
      <c r="Y24" s="246"/>
      <c r="Z24" s="247"/>
      <c r="AA24" s="682"/>
      <c r="AB24" s="683"/>
      <c r="AC24" s="248"/>
      <c r="AD24" s="249"/>
    </row>
    <row r="25" spans="3:30">
      <c r="C25" s="238"/>
      <c r="W25" s="679"/>
      <c r="X25" s="681"/>
      <c r="Y25" s="246"/>
      <c r="Z25" s="247"/>
      <c r="AA25" s="684"/>
      <c r="AB25" s="685"/>
      <c r="AC25" s="248"/>
      <c r="AD25" s="249"/>
    </row>
    <row r="26" spans="3:30">
      <c r="C26" s="238"/>
      <c r="W26" s="478"/>
      <c r="X26" s="479"/>
      <c r="Y26" s="246"/>
      <c r="Z26" s="247"/>
      <c r="AA26" s="684"/>
      <c r="AB26" s="685"/>
      <c r="AC26" s="248"/>
      <c r="AD26" s="249"/>
    </row>
    <row r="27" spans="3:30">
      <c r="C27" s="238"/>
      <c r="W27" s="478"/>
      <c r="X27" s="479"/>
      <c r="Y27" s="246"/>
      <c r="Z27" s="247"/>
      <c r="AA27" s="678"/>
      <c r="AB27" s="673"/>
      <c r="AC27" s="248"/>
      <c r="AD27" s="249"/>
    </row>
    <row r="28" spans="3:30">
      <c r="C28" s="238"/>
      <c r="W28" s="478"/>
      <c r="X28" s="479"/>
      <c r="Y28" s="246"/>
      <c r="Z28" s="247"/>
      <c r="AA28" s="678"/>
      <c r="AB28" s="673"/>
      <c r="AC28" s="248"/>
      <c r="AD28" s="249"/>
    </row>
    <row r="29" spans="3:30">
      <c r="C29" s="238"/>
      <c r="W29" s="478"/>
      <c r="X29" s="479"/>
      <c r="Y29" s="246"/>
      <c r="Z29" s="247"/>
      <c r="AA29" s="678"/>
      <c r="AB29" s="673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8"/>
      <c r="AB30" s="673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8"/>
      <c r="AB31" s="673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8"/>
      <c r="AB32" s="673"/>
      <c r="AC32" s="248"/>
      <c r="AD32" s="249"/>
    </row>
    <row r="33" spans="3:30">
      <c r="C33" s="238"/>
      <c r="W33" s="478"/>
      <c r="X33" s="479"/>
      <c r="Y33" s="246"/>
      <c r="Z33" s="247"/>
      <c r="AA33" s="678"/>
      <c r="AB33" s="673"/>
      <c r="AC33" s="248"/>
      <c r="AD33" s="249"/>
    </row>
    <row r="34" spans="3:30">
      <c r="C34" s="238"/>
      <c r="W34" s="478"/>
      <c r="X34" s="479"/>
      <c r="Y34" s="246"/>
      <c r="Z34" s="247"/>
      <c r="AA34" s="678"/>
      <c r="AB34" s="673"/>
      <c r="AC34" s="248"/>
      <c r="AD34" s="249"/>
    </row>
    <row r="35" spans="3:30">
      <c r="C35" s="238"/>
      <c r="W35" s="679"/>
      <c r="X35" s="680"/>
      <c r="Y35" s="246"/>
      <c r="Z35" s="247"/>
      <c r="AA35" s="678"/>
      <c r="AB35" s="673"/>
      <c r="AC35" s="248"/>
      <c r="AD35" s="249"/>
    </row>
    <row r="36" spans="3:30">
      <c r="C36" s="238"/>
      <c r="J36" s="509"/>
      <c r="W36" s="670"/>
      <c r="X36" s="671"/>
      <c r="Y36" s="246"/>
      <c r="Z36" s="251"/>
      <c r="AA36" s="672"/>
      <c r="AB36" s="673"/>
      <c r="AC36" s="248"/>
      <c r="AD36" s="249"/>
    </row>
    <row r="37" spans="3:30" ht="12.75" customHeight="1">
      <c r="C37" s="238"/>
      <c r="J37" s="509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J38" s="509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09"/>
      <c r="W39" s="674"/>
      <c r="X39" s="675"/>
      <c r="Y39" s="254"/>
      <c r="Z39" s="257"/>
      <c r="AA39" s="666"/>
      <c r="AB39" s="667"/>
      <c r="AC39" s="252"/>
      <c r="AD39" s="253"/>
    </row>
    <row r="40" spans="3:30" ht="12" customHeight="1">
      <c r="C40" s="238"/>
      <c r="J40" s="509"/>
      <c r="W40" s="662"/>
      <c r="X40" s="66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4"/>
      <c r="X41" s="665"/>
      <c r="Y41" s="260"/>
      <c r="Z41" s="261"/>
      <c r="AA41" s="666"/>
      <c r="AB41" s="667"/>
      <c r="AC41" s="252"/>
      <c r="AD41" s="253"/>
    </row>
    <row r="42" spans="3:30" ht="12" customHeight="1">
      <c r="C42" s="238"/>
      <c r="W42" s="668" t="s">
        <v>1456</v>
      </c>
      <c r="X42" s="669"/>
      <c r="Y42" s="669"/>
      <c r="Z42" s="66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7" t="s">
        <v>11</v>
      </c>
      <c r="X44" s="648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7" t="s">
        <v>984</v>
      </c>
      <c r="X45" s="648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7" t="s">
        <v>15</v>
      </c>
      <c r="X46" s="648"/>
      <c r="Y46" s="661"/>
      <c r="Z46" s="661"/>
      <c r="AA46" s="661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7" t="str">
        <f>RAB!G6</f>
        <v>GEDUNG PARIPURNA DPRD DEMAK</v>
      </c>
      <c r="X48" s="657"/>
      <c r="Y48" s="657"/>
      <c r="Z48" s="657"/>
      <c r="AA48" s="657"/>
      <c r="AB48" s="657"/>
      <c r="AC48" s="657"/>
      <c r="AD48" s="65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7" t="s">
        <v>18</v>
      </c>
      <c r="X52" s="648"/>
      <c r="Y52" s="650" t="s">
        <v>1636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7" t="s">
        <v>19</v>
      </c>
      <c r="X53" s="648"/>
      <c r="Y53" s="650" t="s">
        <v>1637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7" t="s">
        <v>20</v>
      </c>
      <c r="X54" s="648"/>
      <c r="Y54" s="649" t="s">
        <v>1638</v>
      </c>
      <c r="Z54" s="649"/>
      <c r="AA54" s="649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2" t="s">
        <v>21</v>
      </c>
      <c r="X55" s="653"/>
      <c r="Y55" s="649" t="s">
        <v>1639</v>
      </c>
      <c r="Z55" s="649"/>
      <c r="AA55" s="649"/>
      <c r="AB55" s="649"/>
      <c r="AC55" s="649"/>
      <c r="AD55" s="654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1528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AK40" sqref="AK40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1527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6" t="str">
        <f>GAMBAR!E7</f>
        <v>KOORDINAT : -6.910241, 110.618104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6"/>
      <c r="Z6" s="426"/>
      <c r="AA6" s="426"/>
      <c r="AB6" s="427"/>
      <c r="AC6" s="427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2024-01-19T07:52:22Z</dcterms:modified>
</cp:coreProperties>
</file>