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NOV\HERI SISWANTO\"/>
    </mc:Choice>
  </mc:AlternateContent>
  <xr:revisionPtr revIDLastSave="0" documentId="13_ncr:1_{59C5DD79-059D-4076-A887-7F3A359DB211}" xr6:coauthVersionLast="47" xr6:coauthVersionMax="47" xr10:uidLastSave="{00000000-0000-0000-0000-000000000000}"/>
  <bookViews>
    <workbookView xWindow="-120" yWindow="-120" windowWidth="24240" windowHeight="13140" tabRatio="859" firstSheet="1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D19" i="11"/>
  <c r="J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J22" i="11" s="1"/>
  <c r="E22" i="11"/>
  <c r="G22" i="11"/>
  <c r="D23" i="11"/>
  <c r="J23" i="11" s="1"/>
  <c r="E23" i="11"/>
  <c r="G23" i="11"/>
  <c r="D24" i="11"/>
  <c r="J24" i="11" s="1"/>
  <c r="E24" i="11"/>
  <c r="G24" i="11"/>
  <c r="D25" i="11"/>
  <c r="E25" i="11"/>
  <c r="G25" i="11"/>
  <c r="D26" i="11"/>
  <c r="H26" i="11" s="1"/>
  <c r="E26" i="11"/>
  <c r="G26" i="11"/>
  <c r="D27" i="11"/>
  <c r="J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H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H42" i="11" s="1"/>
  <c r="E42" i="11"/>
  <c r="G42" i="11"/>
  <c r="D43" i="11"/>
  <c r="H43" i="11" s="1"/>
  <c r="E43" i="11"/>
  <c r="G43" i="11"/>
  <c r="D44" i="11"/>
  <c r="E44" i="11"/>
  <c r="G44" i="11"/>
  <c r="D45" i="11"/>
  <c r="H45" i="11" s="1"/>
  <c r="E45" i="11"/>
  <c r="G45" i="11"/>
  <c r="D46" i="11"/>
  <c r="H46" i="11" s="1"/>
  <c r="E46" i="11"/>
  <c r="G46" i="11"/>
  <c r="D47" i="1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H51" i="11" s="1"/>
  <c r="E51" i="11"/>
  <c r="G51" i="11"/>
  <c r="D52" i="11"/>
  <c r="J52" i="11" s="1"/>
  <c r="E52" i="11"/>
  <c r="G52" i="11"/>
  <c r="D53" i="11"/>
  <c r="H53" i="11" s="1"/>
  <c r="E53" i="11"/>
  <c r="G53" i="11"/>
  <c r="I19" i="11" l="1"/>
  <c r="H47" i="11"/>
  <c r="I27" i="11"/>
  <c r="J26" i="11"/>
  <c r="J46" i="11"/>
  <c r="J44" i="11"/>
  <c r="J37" i="11"/>
  <c r="J43" i="11"/>
  <c r="H25" i="11"/>
  <c r="J39" i="11"/>
  <c r="I51" i="11"/>
  <c r="J34" i="11"/>
  <c r="H22" i="11"/>
  <c r="J53" i="11"/>
  <c r="J51" i="11"/>
  <c r="I46" i="11"/>
  <c r="J45" i="11"/>
  <c r="I43" i="11"/>
  <c r="J42" i="11"/>
  <c r="J30" i="11"/>
  <c r="I23" i="11"/>
  <c r="I35" i="11"/>
  <c r="I31" i="11"/>
  <c r="J38" i="11"/>
  <c r="I42" i="11"/>
  <c r="J41" i="11"/>
  <c r="I38" i="11"/>
  <c r="I34" i="11"/>
  <c r="J33" i="11"/>
  <c r="I30" i="11"/>
  <c r="J29" i="11"/>
  <c r="I26" i="11"/>
  <c r="J25" i="11"/>
  <c r="I22" i="11"/>
  <c r="J21" i="11"/>
  <c r="J47" i="11"/>
  <c r="J50" i="11"/>
  <c r="I50" i="11"/>
  <c r="J49" i="11"/>
  <c r="I47" i="11"/>
  <c r="I39" i="11"/>
  <c r="H35" i="11"/>
  <c r="H31" i="11"/>
  <c r="H27" i="11"/>
  <c r="H23" i="11"/>
  <c r="H19" i="11"/>
  <c r="K19" i="11" s="1"/>
  <c r="I53" i="11"/>
  <c r="I52" i="11"/>
  <c r="I49" i="11"/>
  <c r="I48" i="11"/>
  <c r="I45" i="11"/>
  <c r="I44" i="11"/>
  <c r="I41" i="11"/>
  <c r="I37" i="11"/>
  <c r="I36" i="11"/>
  <c r="I33" i="11"/>
  <c r="I32" i="11"/>
  <c r="I29" i="11"/>
  <c r="I28" i="11"/>
  <c r="I25" i="11"/>
  <c r="I24" i="11"/>
  <c r="I21" i="11"/>
  <c r="I20" i="11"/>
  <c r="H36" i="11"/>
  <c r="H32" i="11"/>
  <c r="K32" i="11" s="1"/>
  <c r="H28" i="11"/>
  <c r="H24" i="11"/>
  <c r="H20" i="11"/>
  <c r="I40" i="11"/>
  <c r="H52" i="11"/>
  <c r="H48" i="11"/>
  <c r="H44" i="11"/>
  <c r="H40" i="11"/>
  <c r="K40" i="11" s="1"/>
  <c r="K27" i="11" l="1"/>
  <c r="K37" i="11"/>
  <c r="K39" i="11"/>
  <c r="K38" i="11"/>
  <c r="K51" i="11"/>
  <c r="K41" i="11"/>
  <c r="K26" i="11"/>
  <c r="K34" i="11"/>
  <c r="K33" i="11"/>
  <c r="K47" i="11"/>
  <c r="K24" i="11"/>
  <c r="K52" i="11"/>
  <c r="K50" i="11"/>
  <c r="K43" i="11"/>
  <c r="K46" i="11"/>
  <c r="K23" i="11"/>
  <c r="K45" i="11"/>
  <c r="K44" i="11"/>
  <c r="K36" i="11"/>
  <c r="K25" i="11"/>
  <c r="K48" i="11"/>
  <c r="K35" i="11"/>
  <c r="K22" i="11"/>
  <c r="K30" i="11"/>
  <c r="K53" i="11"/>
  <c r="K42" i="11"/>
  <c r="K21" i="11"/>
  <c r="K29" i="11"/>
  <c r="K49" i="11"/>
  <c r="K31" i="11"/>
  <c r="K28" i="11"/>
  <c r="K20" i="11"/>
  <c r="G56" i="11" l="1"/>
  <c r="G57" i="11"/>
  <c r="G58" i="11"/>
  <c r="G59" i="11"/>
  <c r="D56" i="11"/>
  <c r="H56" i="11" s="1"/>
  <c r="E56" i="11"/>
  <c r="D57" i="11"/>
  <c r="J57" i="11" s="1"/>
  <c r="E57" i="11"/>
  <c r="D58" i="11"/>
  <c r="I58" i="11" s="1"/>
  <c r="E58" i="11"/>
  <c r="D59" i="11"/>
  <c r="H59" i="11" s="1"/>
  <c r="E59" i="11"/>
  <c r="D61" i="11"/>
  <c r="J61" i="11" s="1"/>
  <c r="E61" i="11"/>
  <c r="G61" i="11"/>
  <c r="I57" i="11" l="1"/>
  <c r="H58" i="11"/>
  <c r="J56" i="11"/>
  <c r="H57" i="11"/>
  <c r="I56" i="11"/>
  <c r="I59" i="11"/>
  <c r="J58" i="11"/>
  <c r="I61" i="11"/>
  <c r="H61" i="11"/>
  <c r="K57" i="11" l="1"/>
  <c r="K61" i="11"/>
  <c r="K56" i="11"/>
  <c r="K58" i="11"/>
  <c r="F59" i="11" l="1"/>
  <c r="J59" i="11" s="1"/>
  <c r="K59" i="11" s="1"/>
  <c r="F55" i="11"/>
  <c r="D54" i="11"/>
  <c r="J54" i="11" s="1"/>
  <c r="E54" i="11"/>
  <c r="G54" i="11"/>
  <c r="D55" i="11"/>
  <c r="J55" i="11" s="1"/>
  <c r="E55" i="11"/>
  <c r="G55" i="11"/>
  <c r="D60" i="11"/>
  <c r="H60" i="11" s="1"/>
  <c r="E60" i="11"/>
  <c r="G60" i="11"/>
  <c r="D62" i="11"/>
  <c r="H62" i="11" s="1"/>
  <c r="E62" i="11"/>
  <c r="G62" i="11"/>
  <c r="G16" i="11"/>
  <c r="G17" i="11"/>
  <c r="G18" i="11"/>
  <c r="D16" i="11"/>
  <c r="H16" i="11" s="1"/>
  <c r="E16" i="11"/>
  <c r="D17" i="11"/>
  <c r="J17" i="11" s="1"/>
  <c r="E17" i="11"/>
  <c r="D18" i="11"/>
  <c r="I18" i="11" s="1"/>
  <c r="E18" i="11"/>
  <c r="D14" i="11"/>
  <c r="J14" i="11" s="1"/>
  <c r="E14" i="11"/>
  <c r="G14" i="11"/>
  <c r="K16" i="60"/>
  <c r="K19" i="60"/>
  <c r="D19" i="60"/>
  <c r="J60" i="11" l="1"/>
  <c r="I62" i="11"/>
  <c r="I60" i="11"/>
  <c r="I55" i="11"/>
  <c r="I54" i="11"/>
  <c r="H55" i="11"/>
  <c r="H54" i="11"/>
  <c r="J62" i="11"/>
  <c r="I17" i="11"/>
  <c r="H14" i="11"/>
  <c r="I14" i="11"/>
  <c r="H18" i="11"/>
  <c r="J16" i="11"/>
  <c r="H17" i="11"/>
  <c r="I16" i="11"/>
  <c r="J18" i="11"/>
  <c r="K54" i="11" l="1"/>
  <c r="K62" i="11"/>
  <c r="K60" i="11"/>
  <c r="K55" i="11"/>
  <c r="K16" i="11"/>
  <c r="K14" i="11"/>
  <c r="K17" i="11"/>
  <c r="K18" i="11"/>
  <c r="G6" i="11" l="1"/>
  <c r="W48" i="64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l="1"/>
  <c r="K9" i="60"/>
  <c r="D6" i="60"/>
  <c r="D9" i="60" s="1"/>
  <c r="K20" i="60" l="1"/>
  <c r="A18" i="11" l="1"/>
  <c r="A17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G15" i="11" l="1"/>
  <c r="E15" i="11"/>
  <c r="D15" i="11"/>
  <c r="A15" i="11"/>
  <c r="I15" i="11" l="1"/>
  <c r="I63" i="11" s="1"/>
  <c r="H15" i="11"/>
  <c r="H63" i="11" s="1"/>
  <c r="J15" i="11"/>
  <c r="J63" i="11" s="1"/>
  <c r="D63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3" i="11"/>
  <c r="D64" i="11"/>
  <c r="H64" i="11" s="1"/>
  <c r="E6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6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58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K15" i="11"/>
  <c r="K63" i="11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F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F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F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4" i="11"/>
  <c r="I6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F314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F317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315" i="29"/>
  <c r="F283" i="29"/>
  <c r="F271" i="29"/>
  <c r="F278" i="29"/>
  <c r="E252" i="29"/>
  <c r="E281" i="29"/>
  <c r="F232" i="29"/>
  <c r="F31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F290" i="29"/>
  <c r="K36" i="39"/>
  <c r="K64" i="11"/>
  <c r="F228" i="29"/>
  <c r="F57" i="39" l="1"/>
  <c r="F61" i="39"/>
  <c r="A11" i="54"/>
  <c r="O10" i="54"/>
  <c r="F322" i="29"/>
  <c r="F343" i="29"/>
  <c r="F59" i="3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F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66" i="11"/>
  <c r="H67" i="11" s="1"/>
  <c r="I66" i="11"/>
  <c r="I67" i="11" s="1"/>
  <c r="F337" i="29"/>
  <c r="F334" i="29"/>
  <c r="F330" i="29"/>
  <c r="F325" i="29"/>
  <c r="F714" i="41"/>
  <c r="E336" i="29"/>
  <c r="F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55" i="29"/>
  <c r="F340" i="29"/>
  <c r="E340" i="29"/>
  <c r="E329" i="29"/>
  <c r="E62" i="39"/>
  <c r="F65" i="39" s="1"/>
  <c r="F62" i="39"/>
  <c r="F352" i="29"/>
  <c r="E352" i="29"/>
  <c r="E9" i="54"/>
  <c r="L9" i="54" s="1"/>
  <c r="M9" i="54" s="1"/>
  <c r="I10" i="54"/>
  <c r="H10" i="54"/>
  <c r="C11" i="54"/>
  <c r="D10" i="54"/>
  <c r="F345" i="29" l="1"/>
  <c r="F327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68" i="11"/>
  <c r="I6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66" i="11" l="1"/>
  <c r="C16" i="29"/>
  <c r="D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66" i="11"/>
  <c r="J6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67" i="11"/>
  <c r="K68" i="11" s="1"/>
  <c r="H16" i="39"/>
  <c r="G16" i="39"/>
  <c r="B16" i="39"/>
  <c r="E16" i="39" s="1"/>
  <c r="I16" i="39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F824" i="41"/>
  <c r="E902" i="41"/>
  <c r="E826" i="41"/>
  <c r="F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K16" i="29"/>
  <c r="F835" i="41" l="1"/>
  <c r="F817" i="41"/>
  <c r="B69" i="11"/>
  <c r="D10" i="59"/>
  <c r="F7" i="54" s="1"/>
  <c r="K16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G17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5" i="54" l="1"/>
  <c r="G26" i="54"/>
  <c r="G27" i="54"/>
  <c r="G9" i="54"/>
  <c r="J9" i="54" s="1"/>
  <c r="N9" i="54" s="1"/>
  <c r="P9" i="54" s="1"/>
  <c r="G7" i="54"/>
  <c r="J7" i="54" s="1"/>
  <c r="N7" i="54" s="1"/>
  <c r="P7" i="54" s="1"/>
  <c r="Q7" i="54" s="1"/>
  <c r="G19" i="54"/>
  <c r="G21" i="54"/>
  <c r="G13" i="54"/>
  <c r="J13" i="54" s="1"/>
  <c r="N13" i="54" s="1"/>
  <c r="P13" i="54" s="1"/>
  <c r="G29" i="54"/>
  <c r="G30" i="54"/>
  <c r="G28" i="54"/>
  <c r="G11" i="54"/>
  <c r="J11" i="54" s="1"/>
  <c r="N11" i="54" s="1"/>
  <c r="P11" i="54" s="1"/>
  <c r="G18" i="54"/>
  <c r="G32" i="54"/>
  <c r="G20" i="54"/>
  <c r="G25" i="54"/>
  <c r="G12" i="54"/>
  <c r="J12" i="54" s="1"/>
  <c r="N12" i="54" s="1"/>
  <c r="P12" i="54" s="1"/>
  <c r="G10" i="54"/>
  <c r="J10" i="54" s="1"/>
  <c r="N10" i="54" s="1"/>
  <c r="P10" i="54" s="1"/>
  <c r="G24" i="54"/>
  <c r="G16" i="54"/>
  <c r="G22" i="54"/>
  <c r="G31" i="54"/>
  <c r="G14" i="54"/>
  <c r="J14" i="54" s="1"/>
  <c r="G23" i="54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<sst xmlns="http://schemas.openxmlformats.org/spreadsheetml/2006/main" count="4729" uniqueCount="1630">
  <si>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</si>
  <si>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</si>
  <si>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</si>
  <si>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</si>
  <si>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</si>
  <si>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</si>
  <si>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</si>
  <si>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</si>
  <si>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</si>
  <si>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</si>
  <si>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</si>
  <si>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</si>
  <si>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</si>
  <si>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</si>
  <si>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</si>
  <si>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</si>
  <si>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</si>
  <si>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</si>
  <si>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</si>
  <si>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</si>
  <si>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</si>
  <si>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</si>
  <si>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</si>
  <si>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</si>
  <si>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</si>
  <si>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</si>
  <si>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</si>
  <si>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</si>
  <si>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</si>
  <si>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</si>
  <si>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</si>
  <si>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</si>
  <si>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</si>
  <si>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</si>
  <si>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</si>
  <si>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</si>
  <si>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</si>
  <si>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</si>
  <si>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</si>
  <si>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</si>
  <si>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</si>
  <si>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</si>
  <si>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</si>
  <si>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</si>
  <si>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</si>
  <si>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</si>
  <si>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</si>
  <si>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</si>
  <si>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</si>
  <si>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</si>
  <si>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</si>
  <si>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</si>
  <si>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</si>
  <si>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</si>
  <si>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</si>
  <si>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</si>
  <si>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</si>
  <si>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</si>
  <si>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</si>
  <si>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</si>
  <si>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</si>
  <si>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</si>
  <si>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</si>
  <si>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</si>
  <si>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</si>
  <si>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</si>
  <si>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</si>
  <si>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</si>
  <si>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</si>
  <si>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</si>
  <si>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</si>
  <si>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</si>
  <si>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</si>
  <si>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</si>
  <si>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</si>
  <si>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</si>
  <si>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</si>
  <si>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</si>
  <si>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</si>
  <si>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</si>
  <si>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</si>
  <si>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</si>
  <si>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</si>
  <si>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</si>
  <si>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</si>
  <si>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</si>
  <si>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</si>
  <si>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</si>
  <si>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</si>
  <si>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</si>
  <si>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</si>
  <si>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</si>
  <si>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</si>
  <si>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</si>
  <si>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</si>
  <si>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</si>
  <si>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</si>
  <si>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</si>
  <si>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</si>
  <si>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</si>
  <si>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</si>
  <si>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</si>
  <si>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</si>
  <si>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</si>
  <si>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</si>
  <si>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</si>
  <si>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</si>
  <si>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</si>
  <si>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</si>
  <si>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</si>
  <si>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</si>
  <si>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</si>
  <si>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</si>
  <si>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</si>
  <si>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</si>
  <si>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</si>
  <si>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</si>
  <si>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</si>
  <si>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</si>
  <si>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</si>
  <si>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</si>
  <si>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</si>
  <si>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</si>
  <si>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</si>
  <si>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</si>
  <si>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</si>
  <si>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</si>
  <si>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</si>
  <si>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</si>
  <si>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</si>
  <si>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</si>
  <si>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</si>
  <si>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</si>
  <si>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</si>
  <si>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</si>
  <si>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</si>
  <si>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</si>
  <si>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</si>
  <si>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</si>
  <si>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</si>
  <si>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</si>
  <si>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</si>
  <si>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</si>
  <si>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</si>
  <si>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</si>
  <si>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</si>
  <si>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</si>
  <si>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</si>
  <si>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</si>
  <si>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</si>
  <si>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</si>
  <si>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</si>
  <si>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</si>
  <si>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</si>
  <si>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</si>
  <si>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</si>
  <si>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</si>
  <si>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</si>
  <si>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</si>
  <si>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</si>
  <si>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</si>
  <si>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</si>
  <si>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</si>
  <si>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</si>
  <si>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</si>
  <si>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</si>
  <si>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</si>
  <si>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</si>
  <si>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</si>
  <si>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</si>
  <si>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</si>
  <si>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</si>
  <si>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</si>
  <si>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</si>
  <si>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</si>
  <si>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</si>
  <si>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</si>
  <si>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</si>
  <si>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</si>
  <si>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</si>
  <si>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</si>
  <si>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</si>
  <si>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</si>
  <si>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</si>
  <si>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</si>
  <si>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</si>
  <si>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</si>
  <si>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</si>
  <si>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</si>
  <si>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</si>
  <si>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</si>
  <si>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</si>
  <si>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</si>
  <si>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</si>
  <si>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</si>
  <si>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</si>
  <si>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</si>
  <si>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</si>
  <si>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</si>
  <si>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</si>
  <si>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</si>
  <si>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</si>
  <si>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</si>
  <si>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</si>
  <si>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</si>
  <si>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</si>
  <si>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</si>
  <si>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</si>
  <si>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</si>
  <si>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</si>
  <si>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</si>
  <si>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</si>
  <si>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</si>
  <si>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</si>
  <si>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</si>
  <si>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</si>
  <si>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</si>
  <si>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</si>
  <si>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</si>
  <si>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</si>
  <si>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</si>
  <si>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</si>
  <si>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</si>
  <si>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</si>
  <si>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</si>
  <si>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</si>
  <si>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</si>
  <si>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</si>
  <si>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</si>
  <si>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</si>
  <si>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</si>
  <si>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</si>
  <si>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</si>
  <si>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</si>
  <si>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</si>
  <si>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</si>
  <si>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</si>
  <si>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</si>
  <si>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</si>
  <si>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</si>
  <si>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</si>
  <si>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</si>
  <si>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</si>
  <si>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</si>
  <si>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</si>
  <si>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</si>
  <si>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</si>
  <si>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</si>
  <si>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</si>
  <si>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</si>
  <si>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</si>
  <si>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</si>
  <si>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</si>
  <si>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</si>
  <si>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</si>
  <si>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</si>
  <si>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</si>
  <si>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</si>
  <si>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</si>
  <si>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</si>
  <si>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</si>
  <si>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</si>
  <si>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</si>
  <si>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</si>
  <si>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</si>
  <si>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</si>
  <si>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</si>
  <si>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</si>
  <si>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</si>
  <si>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</si>
  <si>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</si>
  <si>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</si>
  <si>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</si>
  <si>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</si>
  <si>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</si>
  <si>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</si>
  <si>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</si>
  <si>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</si>
  <si>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</si>
  <si>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</si>
  <si>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</si>
  <si>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</si>
  <si>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</si>
  <si>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</si>
  <si>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</si>
  <si>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</si>
  <si>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</si>
  <si>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</si>
  <si>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</si>
  <si>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</si>
  <si>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</si>
  <si>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</si>
  <si>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</si>
  <si>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</si>
  <si>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</si>
  <si>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</si>
  <si>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</si>
  <si>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</si>
  <si>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</si>
  <si>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</si>
  <si>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</si>
  <si>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</si>
  <si>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</si>
  <si>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</si>
  <si>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</si>
  <si>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</si>
  <si>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</si>
  <si>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</si>
  <si>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</si>
  <si>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</si>
  <si>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</si>
  <si>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</si>
  <si>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</si>
  <si>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</si>
  <si>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</si>
  <si>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</si>
  <si>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</si>
  <si>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</si>
  <si>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</si>
  <si>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</si>
  <si>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</si>
  <si>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</si>
  <si>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</si>
  <si>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</si>
  <si>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</si>
  <si>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</si>
  <si>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</si>
  <si>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</si>
  <si>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</si>
  <si>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</si>
  <si>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</si>
  <si>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</si>
  <si>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</si>
  <si>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</si>
  <si>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</si>
  <si>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</si>
  <si>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</si>
  <si>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</si>
  <si>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</si>
  <si>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</si>
  <si>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</si>
  <si>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</si>
  <si>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</si>
  <si>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</si>
  <si>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</si>
  <si>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</si>
  <si>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</si>
  <si>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</si>
  <si>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</si>
  <si>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</si>
  <si>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</si>
  <si>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</si>
  <si>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</si>
  <si>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</si>
  <si>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</si>
  <si>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</si>
  <si>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</si>
  <si>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</si>
  <si>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</si>
  <si>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</si>
  <si>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</si>
  <si>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</si>
  <si>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</si>
  <si>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</si>
  <si>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</si>
  <si>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</si>
  <si>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</si>
  <si>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</si>
  <si>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</si>
  <si>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</si>
  <si>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</si>
  <si>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</si>
  <si>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</si>
  <si>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</si>
  <si>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</si>
  <si>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</si>
  <si>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</si>
  <si>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</si>
  <si>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</si>
  <si>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</si>
  <si>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</si>
  <si>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</si>
  <si>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</si>
  <si>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</si>
  <si>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</si>
  <si>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</si>
  <si>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</si>
  <si>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</si>
  <si>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</si>
  <si>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</si>
  <si>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</si>
  <si>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</si>
  <si>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</si>
  <si>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</si>
  <si>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</si>
  <si>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</si>
  <si>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</si>
  <si>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</si>
  <si>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</si>
  <si>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</si>
  <si>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</si>
  <si>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</si>
  <si>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</si>
  <si>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</si>
  <si>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</si>
  <si>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</si>
  <si>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</si>
  <si>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</si>
  <si>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</si>
  <si>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</si>
  <si>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</si>
  <si>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</si>
  <si>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</si>
  <si>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</si>
  <si>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</si>
  <si>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</si>
  <si>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</si>
  <si>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</si>
  <si>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</si>
  <si>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</si>
  <si>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</si>
  <si>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</si>
  <si>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</si>
  <si>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</si>
  <si>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</si>
  <si>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</si>
  <si>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</si>
  <si>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</si>
  <si>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</si>
  <si>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</si>
  <si>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</si>
  <si>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</si>
  <si>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</si>
  <si>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</si>
  <si>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</si>
  <si>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</si>
  <si>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</si>
  <si>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</si>
  <si>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</si>
  <si>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</si>
  <si>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</si>
  <si>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</si>
  <si>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</si>
  <si>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</si>
  <si>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</si>
  <si>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</si>
  <si>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</si>
  <si>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</si>
  <si>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</si>
  <si>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</si>
  <si>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</si>
  <si>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</si>
  <si>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</si>
  <si>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</si>
  <si>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</si>
  <si>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</si>
  <si>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</si>
  <si>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</si>
  <si>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</si>
  <si>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</si>
  <si>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</si>
  <si>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</si>
  <si>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</si>
  <si>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</si>
  <si>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</si>
  <si>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</si>
  <si>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</si>
  <si>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</si>
  <si>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</si>
  <si>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</si>
  <si>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</si>
  <si>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</si>
  <si>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</si>
  <si>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</si>
  <si>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</si>
  <si>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</si>
  <si>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</si>
  <si>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</si>
  <si>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</si>
  <si>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</si>
  <si>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</si>
  <si>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</si>
  <si>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</si>
  <si>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</si>
  <si>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</si>
  <si>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</si>
  <si>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</si>
  <si>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</si>
  <si>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</si>
  <si>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</si>
  <si>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</si>
  <si>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</si>
  <si>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</si>
  <si>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</si>
  <si>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</si>
  <si>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</si>
  <si>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</si>
  <si>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</si>
  <si>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</si>
  <si>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</si>
  <si>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</si>
  <si>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</si>
  <si>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</si>
  <si>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</si>
  <si>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</si>
  <si>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</si>
  <si>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</si>
  <si>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</si>
  <si>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</si>
  <si>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</si>
  <si>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</si>
  <si>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</si>
  <si>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</si>
  <si>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</si>
  <si>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</si>
  <si>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</si>
  <si>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</si>
  <si>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</si>
  <si>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</si>
  <si>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</si>
  <si>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</si>
  <si>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</si>
  <si>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</si>
  <si>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</si>
  <si>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</si>
  <si>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</si>
  <si>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</si>
  <si>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</si>
  <si>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</si>
  <si>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</si>
  <si>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</si>
  <si>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</si>
  <si>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</si>
  <si>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</si>
  <si>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</si>
  <si>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</si>
  <si>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</si>
  <si>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</si>
  <si>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</si>
  <si>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</si>
  <si>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</si>
  <si>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</si>
  <si>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</si>
  <si>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</si>
  <si>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</si>
  <si>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</si>
  <si>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</si>
  <si>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</si>
  <si>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</si>
  <si>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</si>
  <si>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</si>
  <si>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</si>
  <si>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</si>
  <si>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</si>
  <si>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</si>
  <si>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</si>
  <si>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</si>
  <si>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</si>
  <si>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</si>
  <si>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</si>
  <si>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</si>
  <si>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</si>
  <si>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</si>
  <si>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</si>
  <si>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</si>
  <si>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</si>
  <si>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</si>
  <si>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</si>
  <si>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</si>
  <si>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</si>
  <si>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</si>
  <si>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</si>
  <si>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</si>
  <si>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</si>
  <si>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</si>
  <si>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</si>
  <si>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</si>
  <si>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</si>
  <si>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</si>
  <si>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</si>
  <si>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</si>
  <si>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</si>
  <si>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</si>
  <si>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</si>
  <si>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</si>
  <si>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</si>
  <si>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</si>
  <si>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</si>
  <si>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</si>
  <si>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</si>
  <si>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</si>
  <si>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</si>
  <si>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</si>
  <si>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</si>
  <si>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</si>
  <si>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</si>
  <si>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</si>
  <si>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</si>
  <si>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</si>
  <si>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</si>
  <si>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</si>
  <si>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</si>
  <si>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</si>
  <si>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</si>
  <si>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</si>
  <si>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</si>
  <si>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</si>
  <si>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</si>
  <si>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</si>
  <si>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</si>
  <si>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</si>
  <si>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</si>
  <si>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</si>
  <si>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</si>
  <si>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</si>
  <si>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</si>
  <si>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</si>
  <si>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</si>
  <si>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</si>
  <si>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</si>
  <si>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</si>
  <si>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</si>
  <si>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</si>
  <si>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</si>
  <si>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</si>
  <si>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</si>
  <si>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</si>
  <si>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</si>
  <si>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</si>
  <si>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</si>
  <si>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</si>
  <si>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</si>
  <si>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</si>
  <si>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</si>
  <si>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</si>
  <si>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</si>
  <si>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</si>
  <si>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</si>
  <si>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</si>
  <si>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</si>
  <si>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</si>
  <si>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</si>
  <si>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</si>
  <si>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</si>
  <si>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</si>
  <si>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</si>
  <si>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</si>
  <si>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</si>
  <si>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</si>
  <si>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</si>
  <si>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</si>
  <si>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</si>
  <si>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</si>
  <si>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</si>
  <si>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</si>
  <si>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</si>
  <si>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</si>
  <si>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</si>
  <si>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</si>
  <si>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</si>
  <si>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</si>
  <si>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</si>
  <si>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</si>
  <si>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</si>
  <si>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</si>
  <si>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</si>
  <si>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</si>
  <si>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</si>
  <si>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</si>
  <si>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</si>
  <si>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</si>
  <si>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</si>
  <si>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</si>
  <si>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</si>
  <si>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</si>
  <si>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</si>
  <si>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</si>
  <si>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</si>
  <si>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</si>
  <si>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</si>
  <si>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</si>
  <si>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</si>
  <si>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</si>
  <si>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</si>
  <si>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</si>
  <si>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</si>
  <si>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</si>
  <si>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</si>
  <si>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</si>
  <si>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</si>
  <si>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</si>
  <si>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</si>
  <si>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</si>
  <si>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</si>
  <si>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</si>
  <si>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</si>
  <si>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</si>
  <si>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</si>
  <si>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</si>
  <si>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</si>
  <si>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</si>
  <si>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</si>
  <si>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</si>
  <si>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</si>
  <si>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</si>
  <si>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</si>
  <si>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</si>
  <si>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</si>
  <si>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</si>
  <si>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</si>
  <si>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</si>
  <si>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</si>
  <si>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</si>
  <si>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</si>
  <si>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</si>
  <si>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</si>
  <si>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</si>
  <si>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</si>
  <si>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</si>
  <si>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</si>
  <si>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</si>
  <si>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</si>
  <si>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</si>
  <si>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</si>
  <si>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</si>
  <si>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</si>
  <si>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</si>
  <si>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</si>
  <si>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</si>
  <si>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</si>
  <si>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</si>
  <si>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</si>
  <si>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</si>
  <si>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</si>
  <si>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</si>
  <si>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</si>
  <si>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</si>
  <si>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</si>
  <si>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</si>
  <si>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</si>
  <si>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</si>
  <si>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</si>
  <si>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</si>
  <si>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</si>
  <si>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</si>
  <si>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</si>
  <si>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</si>
  <si>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</si>
  <si>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</si>
  <si>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</si>
  <si>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</si>
  <si>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</si>
  <si>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</si>
  <si>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</si>
  <si>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</si>
  <si>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</si>
  <si>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</si>
  <si>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</si>
  <si>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</si>
  <si>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</si>
  <si>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</si>
  <si>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</si>
  <si>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</si>
  <si>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</si>
  <si>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</si>
  <si>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</si>
  <si>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</si>
  <si>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</si>
  <si>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</si>
  <si>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</si>
  <si>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</si>
  <si>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</si>
  <si>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</si>
  <si>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</si>
  <si>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</si>
  <si>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</si>
  <si>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</si>
  <si>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</si>
  <si>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</si>
  <si>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</si>
  <si>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</si>
  <si>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</si>
  <si>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</si>
  <si>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</si>
  <si>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</si>
  <si>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</si>
  <si>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</si>
  <si>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</si>
  <si>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</si>
  <si>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</si>
  <si>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</si>
  <si>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</si>
  <si>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</si>
  <si>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</si>
  <si>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</si>
  <si>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</si>
  <si>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</si>
  <si>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</si>
  <si>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</si>
  <si>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</si>
  <si>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</si>
  <si>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</si>
  <si>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</si>
  <si>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</si>
  <si>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</si>
  <si>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</si>
  <si>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</si>
  <si>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</si>
  <si>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</si>
  <si>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</si>
  <si>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</si>
  <si>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</si>
  <si>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</si>
  <si>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</si>
  <si>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</si>
  <si>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</si>
  <si>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</si>
  <si>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</si>
  <si>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</si>
  <si>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</si>
  <si>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</si>
  <si>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</si>
  <si>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</si>
  <si>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</si>
  <si>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</si>
  <si>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</si>
  <si>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</si>
  <si>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</si>
  <si>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</si>
  <si>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</si>
  <si>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</si>
  <si>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</si>
  <si>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</si>
  <si>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</si>
  <si>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</si>
  <si>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</si>
  <si>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</si>
  <si>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</si>
  <si>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</si>
  <si>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</si>
  <si>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</si>
  <si>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</si>
  <si>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</si>
  <si>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</si>
  <si>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</si>
  <si>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</si>
  <si>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</si>
  <si>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</si>
  <si>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</si>
  <si>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</si>
  <si>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</si>
  <si>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</si>
  <si>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</si>
  <si>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</si>
  <si>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</si>
  <si>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</si>
  <si>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</si>
  <si>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</si>
  <si>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</si>
  <si>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</si>
  <si>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</si>
  <si>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</si>
  <si>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</si>
  <si>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</si>
  <si>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</si>
  <si>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</si>
  <si>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</si>
  <si>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</si>
  <si>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</si>
  <si>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</si>
  <si>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</si>
  <si>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</si>
  <si>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</si>
  <si>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</si>
  <si>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</si>
  <si>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</si>
  <si>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</si>
  <si>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</si>
  <si>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</si>
  <si>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</si>
  <si>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</si>
  <si>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</si>
  <si>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</si>
  <si>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</si>
  <si>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</si>
  <si>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</si>
  <si>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</si>
  <si>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</si>
  <si>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</si>
  <si>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</si>
  <si>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</si>
  <si>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</si>
  <si>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</si>
  <si>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</si>
  <si>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</si>
  <si>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</si>
  <si>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</si>
  <si>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</si>
  <si>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</si>
  <si>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</si>
  <si>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</si>
  <si>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</si>
  <si>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</si>
  <si>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</si>
  <si>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</si>
  <si>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</si>
  <si>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</si>
  <si>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</si>
  <si>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</si>
  <si>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</si>
  <si>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</si>
  <si>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</si>
  <si>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</si>
  <si>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</si>
  <si>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</si>
  <si>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</si>
  <si>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</si>
  <si>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</si>
  <si>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</si>
  <si>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</si>
  <si>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</si>
  <si>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</si>
  <si>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</si>
  <si>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</si>
  <si>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</si>
  <si>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</si>
  <si>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</si>
  <si>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</si>
  <si>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</si>
  <si>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</si>
  <si>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</si>
  <si>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</si>
  <si>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</si>
  <si>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</si>
  <si>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</si>
  <si>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</si>
  <si>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</si>
  <si>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</si>
  <si>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</si>
  <si>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</si>
  <si>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</si>
  <si>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</si>
  <si>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</si>
  <si>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</si>
  <si>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</si>
  <si>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</si>
  <si>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</si>
  <si>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</si>
  <si>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</si>
  <si>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</si>
  <si>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</si>
  <si>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</si>
  <si>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</si>
  <si>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</si>
  <si>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</si>
  <si>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</si>
  <si>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</si>
  <si>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</si>
  <si>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</si>
  <si>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</si>
  <si>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</si>
  <si>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</si>
  <si>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</si>
  <si>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</si>
  <si>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</si>
  <si>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</si>
  <si>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</si>
  <si>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</si>
  <si>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</si>
  <si>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</si>
  <si>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</si>
  <si>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</si>
  <si>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</si>
  <si>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</si>
  <si>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</si>
  <si>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</si>
  <si>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</si>
  <si>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</si>
  <si>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</si>
  <si>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</si>
  <si>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</si>
  <si>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</si>
  <si>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</si>
  <si>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</si>
  <si>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</si>
  <si>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</si>
  <si>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</si>
  <si>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</si>
  <si>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</si>
  <si>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</si>
  <si>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</si>
  <si>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</si>
  <si>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</si>
  <si>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</si>
  <si>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</si>
  <si>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</si>
  <si>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</si>
  <si>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</si>
  <si>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</si>
  <si>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</si>
  <si>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</si>
  <si>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</si>
  <si>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</si>
  <si>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</si>
  <si>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</si>
  <si>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</si>
  <si>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</si>
  <si>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</si>
  <si>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</si>
  <si>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</si>
  <si>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</si>
  <si>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</si>
  <si>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</si>
  <si>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</si>
  <si>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</si>
  <si>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</si>
  <si>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</si>
  <si>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</si>
  <si>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</si>
  <si>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</si>
  <si>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</si>
  <si>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</si>
  <si>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</si>
  <si>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</si>
  <si>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</si>
  <si>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</si>
  <si>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</si>
  <si>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</si>
  <si>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</si>
  <si>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</si>
  <si>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</si>
  <si>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</si>
  <si>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</si>
  <si>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</si>
  <si>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</si>
  <si>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</si>
  <si>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</si>
  <si>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</si>
  <si>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</si>
  <si>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</si>
  <si>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</si>
  <si>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</si>
  <si>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</si>
  <si>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</si>
  <si>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</si>
  <si>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</si>
  <si>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</si>
  <si>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</si>
  <si>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</si>
  <si>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</si>
  <si>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</si>
  <si>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</si>
  <si>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</si>
  <si>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</si>
  <si>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</si>
  <si>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</si>
  <si>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</si>
  <si>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</si>
  <si>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</si>
  <si>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</si>
  <si>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</si>
  <si>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</si>
  <si>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</si>
  <si>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</si>
  <si>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</si>
  <si>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</si>
  <si>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</si>
  <si>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</si>
  <si>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</si>
  <si>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</si>
  <si>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</si>
  <si>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</si>
  <si>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</si>
  <si>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</si>
  <si>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</si>
  <si>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</si>
  <si>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</si>
  <si>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</si>
  <si>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</si>
  <si>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</si>
  <si>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</si>
  <si>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</si>
  <si>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</si>
  <si>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</si>
  <si>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</si>
  <si>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</si>
  <si>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</si>
  <si>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</si>
  <si>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</si>
  <si>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</si>
  <si>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</si>
  <si>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</si>
  <si>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</si>
  <si>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</si>
  <si>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</si>
  <si>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</si>
  <si>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</si>
  <si>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</si>
  <si>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</si>
  <si>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</si>
  <si>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</si>
  <si>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</si>
  <si>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</si>
  <si>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</si>
  <si>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</si>
  <si>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</si>
  <si>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</si>
  <si>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</si>
  <si>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</si>
  <si>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</si>
  <si>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</si>
  <si>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</si>
  <si>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</si>
  <si>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</si>
  <si>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</si>
  <si>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</si>
  <si>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</si>
  <si>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</si>
  <si>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</si>
  <si>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</si>
  <si>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</si>
  <si>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</si>
  <si>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</si>
  <si>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</si>
  <si>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</si>
  <si>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</si>
  <si>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</si>
  <si>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</si>
  <si>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</si>
  <si>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</si>
  <si>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</si>
  <si>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</si>
  <si>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</si>
  <si>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</si>
  <si>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</si>
  <si>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</si>
  <si>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</si>
  <si>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</si>
  <si>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</si>
  <si>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</si>
  <si>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</si>
  <si>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</si>
  <si>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</si>
  <si>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</si>
  <si>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</si>
  <si>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</si>
  <si>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</si>
  <si>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</si>
  <si>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</si>
  <si>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</si>
  <si>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</si>
  <si>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</si>
  <si>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</si>
  <si>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</si>
  <si>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</si>
  <si>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</si>
  <si>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</si>
  <si>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</si>
  <si>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</si>
  <si>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</si>
  <si>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</si>
  <si>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</si>
  <si>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</si>
  <si>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</si>
  <si>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</si>
  <si>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</si>
  <si>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</si>
  <si>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</si>
  <si>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</si>
  <si>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</si>
  <si>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</si>
  <si>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</si>
  <si>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</si>
  <si>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</si>
  <si>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</si>
  <si>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</si>
  <si>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</si>
  <si>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</si>
  <si>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</si>
  <si>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</si>
  <si>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</si>
  <si>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</si>
  <si>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</si>
  <si>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</si>
  <si>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</si>
  <si>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</si>
  <si>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</si>
  <si>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</si>
  <si>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</si>
  <si>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</si>
  <si>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</si>
  <si>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</si>
  <si>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</si>
  <si>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</si>
  <si>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</si>
  <si>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</si>
  <si>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</si>
  <si>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</si>
  <si>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</si>
  <si>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</si>
  <si>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</si>
  <si>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</si>
  <si>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</si>
  <si>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</si>
  <si>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</si>
  <si>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</si>
  <si>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</si>
  <si>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</si>
  <si>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</si>
  <si>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</si>
  <si>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</si>
  <si>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</si>
  <si>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</si>
  <si>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</si>
  <si>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</si>
  <si>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</si>
  <si>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</si>
  <si>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</si>
  <si>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</si>
  <si>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</si>
  <si>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</si>
  <si>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</si>
  <si>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</si>
  <si>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</si>
  <si>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</si>
  <si>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</si>
  <si>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</si>
  <si>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</si>
  <si>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</si>
  <si>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</si>
  <si>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</si>
  <si>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</si>
  <si>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</si>
  <si>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</si>
  <si>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</si>
  <si>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</si>
  <si>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</si>
  <si>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</si>
  <si>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</si>
  <si>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</si>
  <si>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</si>
  <si>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</si>
  <si>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</si>
  <si>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</si>
  <si>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</si>
  <si>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</si>
  <si>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</si>
  <si>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</si>
  <si>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</si>
  <si>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</si>
  <si>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</si>
  <si>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</si>
  <si>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</si>
  <si>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</si>
  <si>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</si>
  <si>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</si>
  <si>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</si>
  <si>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</si>
  <si>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</si>
  <si>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</si>
  <si>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</si>
  <si>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</si>
  <si>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</si>
  <si>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</si>
  <si>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</si>
  <si>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</si>
  <si>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</si>
  <si>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</si>
  <si>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</si>
  <si>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</si>
  <si>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</si>
  <si>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</si>
  <si>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</si>
  <si>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</si>
  <si>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</si>
  <si>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</si>
  <si>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</si>
  <si>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</si>
  <si>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</si>
  <si>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</si>
  <si>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</si>
  <si>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</si>
  <si>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</si>
  <si>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</si>
  <si>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</si>
  <si>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</si>
  <si>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</si>
  <si>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</si>
  <si>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</si>
  <si>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</si>
  <si>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</si>
  <si>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</si>
  <si>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</si>
  <si>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</si>
  <si>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</si>
  <si>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</si>
  <si>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</si>
  <si>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</si>
  <si>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</si>
  <si>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</si>
  <si>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</si>
  <si>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</si>
  <si>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</si>
  <si>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</si>
  <si>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</si>
  <si>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</si>
  <si>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</si>
  <si>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</si>
  <si>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</si>
  <si>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</si>
  <si>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</si>
  <si>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</si>
  <si>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</si>
  <si>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</si>
  <si>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</si>
  <si>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</si>
  <si>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</si>
  <si>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</si>
  <si>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</si>
  <si>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</si>
  <si>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</si>
  <si>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</si>
  <si>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</si>
  <si>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</si>
  <si>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</si>
  <si>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</si>
  <si>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</si>
  <si>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</si>
  <si>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</si>
  <si>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</si>
  <si>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</si>
  <si>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</si>
  <si>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</si>
  <si>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</si>
  <si>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</si>
  <si>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</si>
  <si>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</si>
  <si>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</si>
  <si>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</si>
  <si>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</si>
  <si>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</si>
  <si>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</si>
  <si>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</si>
  <si>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</si>
  <si>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</si>
  <si>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</si>
  <si>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</si>
  <si>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</si>
  <si>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</si>
  <si>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</si>
  <si>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</si>
  <si>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</si>
  <si>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</si>
  <si>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</si>
  <si>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</si>
  <si>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</si>
  <si>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</si>
  <si>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</si>
  <si>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</si>
  <si>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</si>
  <si>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</si>
  <si>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</si>
  <si>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</si>
  <si>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</si>
  <si>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</si>
  <si>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</si>
  <si>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</si>
  <si>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</si>
  <si>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</si>
  <si>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</si>
  <si>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</si>
  <si>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</si>
  <si>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</si>
  <si>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</si>
  <si>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</si>
  <si>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</si>
  <si>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</si>
  <si>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</si>
  <si>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</si>
  <si>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</si>
  <si>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</si>
  <si>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</si>
  <si>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</si>
  <si>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</si>
  <si>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</si>
  <si>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</si>
  <si>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</si>
  <si>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</si>
  <si>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</si>
  <si>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</si>
  <si>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</si>
  <si>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</si>
  <si>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</si>
  <si>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</si>
  <si>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</si>
  <si>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</si>
  <si>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</si>
  <si>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</si>
  <si>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</si>
  <si>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</si>
  <si>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</si>
  <si>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</si>
  <si>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</si>
  <si>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</si>
  <si>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</si>
  <si>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</si>
  <si>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</si>
  <si>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</si>
  <si>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</si>
  <si>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</si>
  <si>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</si>
  <si>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</si>
  <si>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</si>
  <si>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</si>
  <si>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</si>
  <si>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</si>
  <si>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</si>
  <si>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</si>
  <si>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</si>
  <si>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</si>
  <si>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</si>
  <si>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</si>
  <si>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</si>
  <si>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</si>
  <si>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</si>
  <si>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</si>
  <si>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</si>
  <si>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</si>
  <si>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</si>
  <si>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</si>
  <si>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</si>
  <si>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</si>
  <si>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</si>
  <si>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</si>
  <si>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</si>
  <si>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</si>
  <si>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</si>
  <si>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</si>
  <si>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</si>
  <si>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</si>
  <si>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</si>
  <si>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</si>
  <si>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</si>
  <si>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</si>
  <si>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</si>
  <si>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</si>
  <si>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</si>
  <si>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</si>
  <si>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</si>
  <si>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</si>
  <si>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</si>
  <si>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</si>
  <si>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</si>
  <si>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</si>
  <si>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</si>
  <si>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</si>
  <si>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PEMBANGUNAN JARINGAN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</si>
  <si>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</si>
  <si>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</si>
  <si>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</si>
  <si>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</si>
  <si>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</si>
  <si>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</si>
  <si>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</si>
  <si>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</si>
  <si>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</si>
  <si>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</si>
  <si>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</si>
  <si>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</si>
  <si>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</si>
  <si>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</si>
  <si>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</si>
  <si>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</si>
  <si>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</si>
  <si>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</si>
  <si>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</si>
  <si>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</si>
  <si>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</si>
  <si>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</si>
  <si>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</si>
  <si>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</si>
  <si>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</si>
  <si>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</si>
  <si>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</si>
  <si>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</si>
  <si>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</si>
  <si>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</si>
  <si>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</si>
  <si>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</si>
  <si>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</si>
  <si>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</si>
  <si>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</si>
  <si>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</si>
  <si>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</si>
  <si>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</si>
  <si>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</si>
  <si>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</si>
  <si>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</si>
  <si>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</si>
  <si>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</si>
  <si>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</si>
  <si>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</si>
  <si>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</si>
  <si>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</si>
  <si>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</si>
  <si>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</si>
  <si>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</si>
  <si>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</si>
  <si>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</si>
  <si>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</si>
  <si>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</si>
  <si>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</si>
  <si>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</si>
  <si>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</si>
  <si>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</si>
  <si>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</si>
  <si>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</si>
  <si>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</si>
  <si>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</si>
  <si>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</si>
  <si>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</si>
  <si>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</si>
  <si>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</si>
  <si>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</si>
  <si>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</si>
  <si>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</si>
  <si>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</si>
  <si>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</si>
  <si>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</si>
  <si>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</si>
  <si>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</si>
  <si>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</si>
  <si>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</si>
  <si>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</si>
  <si>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</si>
  <si>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</si>
  <si>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</si>
  <si>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</si>
  <si>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</si>
  <si>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</si>
  <si>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</si>
  <si>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</si>
  <si>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</si>
  <si>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</si>
  <si>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</si>
  <si>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</si>
  <si>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</si>
  <si>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</si>
  <si>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</si>
  <si>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</si>
  <si>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</si>
  <si>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</si>
  <si>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</si>
  <si>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</si>
  <si>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</si>
  <si>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</si>
  <si>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</si>
  <si>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</si>
  <si>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</si>
  <si>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</si>
  <si>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</si>
  <si>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</si>
  <si>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</si>
  <si>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</si>
  <si>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</si>
  <si>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</si>
  <si>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</si>
  <si>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</si>
  <si>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</si>
  <si>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</si>
  <si>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</si>
  <si>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</si>
  <si>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</si>
  <si>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</si>
  <si>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</si>
  <si>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</si>
  <si>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</si>
  <si>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</si>
  <si>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</si>
  <si>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</si>
  <si>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</si>
  <si>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</si>
  <si>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</si>
  <si>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</si>
  <si>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</si>
  <si>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</si>
  <si>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</si>
  <si>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</si>
  <si>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</si>
  <si>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</si>
  <si>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</si>
  <si>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</si>
  <si>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</si>
  <si>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</si>
  <si>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</si>
  <si>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</si>
  <si>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</si>
  <si>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</si>
  <si>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</si>
  <si>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</si>
  <si>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</si>
  <si>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</si>
  <si>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</si>
  <si>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</si>
  <si>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</si>
  <si>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</si>
  <si>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</si>
  <si>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</si>
  <si>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</si>
  <si>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</si>
  <si>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</si>
  <si>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Daya 11.000 VA</t>
  </si>
  <si>
    <t>APP 11 KVA</t>
  </si>
  <si>
    <t xml:space="preserve">KOORDINAT : </t>
  </si>
  <si>
    <t>PEMASANGAN TRAFO</t>
  </si>
  <si>
    <t>Trafo 1 Fasa CSP 50 KVA (G105, G106, G136)</t>
  </si>
  <si>
    <t xml:space="preserve">Jumper Wire : </t>
  </si>
  <si>
    <t>CM2-11M</t>
  </si>
  <si>
    <t>Stainless Steel Strap 20 X 0.7 mm</t>
  </si>
  <si>
    <t>CM5-9</t>
  </si>
  <si>
    <t>HERI SISWANTO</t>
  </si>
  <si>
    <t>KRAMAT DEMPET</t>
  </si>
  <si>
    <t>Demak, 14 November 2023</t>
  </si>
  <si>
    <t>MANAGER ULP</t>
  </si>
  <si>
    <t>ACHMAD SUHENDRO</t>
  </si>
  <si>
    <t>Staff teknik</t>
  </si>
  <si>
    <t>TL Teknik</t>
  </si>
  <si>
    <t>Manager ULP</t>
  </si>
  <si>
    <t>Mbag Perencanaan</t>
  </si>
  <si>
    <t>B2T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</si>
</sst>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9" fillId="0" borderId="0" applyFont="0" applyFill="0" applyBorder="0" applyAlignment="0" applyProtection="0"/>
    <xf numFmtId="41" fontId="171" fillId="0" borderId="0" applyFont="0" applyFill="0" applyBorder="0" applyAlignment="0" applyProtection="0"/>
    <xf numFmtId="0" fontId="18" fillId="0" borderId="0"/>
  </cellStyleXfs>
  <cellXfs count="715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28" xfId="1451" applyFont="1" applyBorder="1"/>
    <xf numFmtId="0" fontId="118" fillId="0" borderId="37" xfId="1451" applyFont="1" applyBorder="1"/>
    <xf numFmtId="0" fontId="113" fillId="0" borderId="37" xfId="1451" applyFont="1" applyBorder="1" applyAlignment="1">
      <alignment vertical="center"/>
    </xf>
    <xf numFmtId="0" fontId="118" fillId="0" borderId="34" xfId="1451" applyFont="1" applyBorder="1"/>
    <xf numFmtId="0" fontId="118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12" fillId="33" borderId="0" xfId="0" applyFont="1" applyFill="1" applyAlignment="1">
      <alignment horizontal="center"/>
    </xf>
    <xf numFmtId="0" fontId="112" fillId="33" borderId="26" xfId="0" applyFont="1" applyFill="1" applyBorder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2" fillId="33" borderId="37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2" fillId="33" borderId="38" xfId="0" applyFont="1" applyFill="1" applyBorder="1" applyAlignment="1">
      <alignment horizontal="center"/>
    </xf>
    <xf numFmtId="0" fontId="89" fillId="33" borderId="40" xfId="0" applyFont="1" applyFill="1" applyBorder="1" applyAlignment="1">
      <alignment horizontal="center" vertical="center"/>
    </xf>
    <xf numFmtId="0" fontId="89" fillId="33" borderId="47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 vertical="center"/>
    </xf>
    <xf numFmtId="0" fontId="112" fillId="33" borderId="39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/>
    </xf>
    <xf numFmtId="0" fontId="89" fillId="33" borderId="68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vertical="top" wrapText="1"/>
    </xf>
    <xf numFmtId="0" fontId="112" fillId="33" borderId="39" xfId="0" applyFont="1" applyFill="1" applyBorder="1" applyAlignment="1">
      <alignment vertical="top" wrapText="1"/>
    </xf>
    <xf numFmtId="0" fontId="116" fillId="33" borderId="69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0" fontId="116" fillId="33" borderId="7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7" fillId="33" borderId="71" xfId="0" applyFont="1" applyFill="1" applyBorder="1" applyAlignment="1">
      <alignment horizontal="center" vertical="top" wrapText="1"/>
    </xf>
    <xf numFmtId="0" fontId="117" fillId="33" borderId="72" xfId="0" applyFont="1" applyFill="1" applyBorder="1" applyAlignment="1">
      <alignment horizontal="center" vertical="top" wrapText="1"/>
    </xf>
    <xf numFmtId="0" fontId="112" fillId="33" borderId="0" xfId="0" applyFont="1" applyFill="1" applyAlignment="1">
      <alignment vertical="top" wrapText="1"/>
    </xf>
    <xf numFmtId="0" fontId="112" fillId="33" borderId="37" xfId="0" applyFont="1" applyFill="1" applyBorder="1" applyAlignment="1">
      <alignment vertical="top" wrapText="1"/>
    </xf>
    <xf numFmtId="0" fontId="112" fillId="33" borderId="42" xfId="0" applyFont="1" applyFill="1" applyBorder="1" applyAlignment="1">
      <alignment horizontal="center"/>
    </xf>
    <xf numFmtId="0" fontId="112" fillId="33" borderId="43" xfId="0" applyFont="1" applyFill="1" applyBorder="1" applyAlignment="1">
      <alignment vertical="top" wrapText="1"/>
    </xf>
    <xf numFmtId="0" fontId="112" fillId="33" borderId="44" xfId="0" applyFont="1" applyFill="1" applyBorder="1" applyAlignment="1">
      <alignment vertical="top" wrapText="1"/>
    </xf>
    <xf numFmtId="0" fontId="112" fillId="33" borderId="45" xfId="0" applyFont="1" applyFill="1" applyBorder="1" applyAlignment="1">
      <alignment vertical="top" wrapText="1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2" fillId="33" borderId="39" xfId="0" applyFont="1" applyFill="1" applyBorder="1" applyAlignment="1">
      <alignment horizontal="center"/>
    </xf>
    <xf numFmtId="20" fontId="112" fillId="33" borderId="39" xfId="0" applyNumberFormat="1" applyFont="1" applyFill="1" applyBorder="1" applyAlignment="1">
      <alignment horizontal="center"/>
    </xf>
    <xf numFmtId="0" fontId="112" fillId="33" borderId="42" xfId="0" applyFont="1" applyFill="1" applyBorder="1" applyAlignment="1">
      <alignment horizontal="center" vertical="center" wrapText="1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44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5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6" fillId="0" borderId="0" xfId="1614" applyFont="1" applyAlignment="1">
      <alignment horizontal="center"/>
    </xf>
    <xf numFmtId="0" fontId="147" fillId="0" borderId="0" xfId="1614" applyFont="1" applyAlignment="1">
      <alignment horizontal="center"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/>
    </xf>
    <xf numFmtId="0" fontId="151" fillId="0" borderId="0" xfId="1614" applyFont="1"/>
    <xf numFmtId="167" fontId="151" fillId="0" borderId="0" xfId="1652" applyNumberFormat="1" applyFont="1"/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51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0" fontId="151" fillId="0" borderId="0" xfId="1614" applyFont="1" applyAlignment="1">
      <alignment horizontal="center" vertical="center" wrapText="1"/>
    </xf>
    <xf numFmtId="0" fontId="148" fillId="0" borderId="0" xfId="1614" applyFont="1" applyAlignment="1">
      <alignment horizontal="center" vertical="center" wrapText="1"/>
    </xf>
    <xf numFmtId="3" fontId="147" fillId="0" borderId="0" xfId="1614" applyNumberFormat="1" applyFont="1" applyAlignment="1">
      <alignment vertical="center"/>
    </xf>
    <xf numFmtId="0" fontId="148" fillId="0" borderId="20" xfId="1615" applyFont="1" applyBorder="1" applyAlignment="1">
      <alignment horizontal="center" vertical="center"/>
    </xf>
    <xf numFmtId="0" fontId="148" fillId="0" borderId="21" xfId="1615" applyFont="1" applyBorder="1" applyAlignment="1">
      <alignment horizontal="left" vertical="center" wrapText="1"/>
    </xf>
    <xf numFmtId="0" fontId="147" fillId="0" borderId="21" xfId="1614" applyFont="1" applyBorder="1" applyAlignment="1">
      <alignment horizontal="center" vertical="center" wrapText="1"/>
    </xf>
    <xf numFmtId="0" fontId="154" fillId="0" borderId="21" xfId="1614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47" fillId="0" borderId="21" xfId="1614" applyNumberFormat="1" applyFont="1" applyBorder="1" applyAlignment="1">
      <alignment horizontal="center" vertical="center"/>
    </xf>
    <xf numFmtId="3" fontId="147" fillId="0" borderId="22" xfId="1614" applyNumberFormat="1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451" applyFont="1" applyBorder="1" applyAlignment="1">
      <alignment horizontal="left" vertical="center" wrapText="1"/>
    </xf>
    <xf numFmtId="0" fontId="149" fillId="0" borderId="21" xfId="1653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54" fillId="0" borderId="21" xfId="1615" applyFont="1" applyBorder="1" applyAlignment="1">
      <alignment horizontal="center" vertic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49" fillId="0" borderId="20" xfId="1653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0" fontId="149" fillId="0" borderId="21" xfId="1614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9" fillId="0" borderId="21" xfId="1652" applyFont="1" applyBorder="1" applyAlignment="1">
      <alignment horizontal="left" vertical="center" wrapText="1"/>
    </xf>
    <xf numFmtId="0" fontId="147" fillId="0" borderId="20" xfId="1652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54" fillId="0" borderId="21" xfId="1652" applyFont="1" applyBorder="1" applyAlignment="1">
      <alignment horizontal="center" vertical="center"/>
    </xf>
    <xf numFmtId="0" fontId="154" fillId="0" borderId="49" xfId="1652" applyFont="1" applyBorder="1" applyAlignment="1">
      <alignment horizontal="center" vertical="center"/>
    </xf>
    <xf numFmtId="0" fontId="154" fillId="0" borderId="3" xfId="1652" applyFont="1" applyBorder="1" applyAlignment="1">
      <alignment vertical="center" wrapText="1"/>
    </xf>
    <xf numFmtId="0" fontId="147" fillId="0" borderId="3" xfId="1614" applyFont="1" applyBorder="1" applyAlignment="1">
      <alignment horizontal="center" vertical="center" wrapText="1"/>
    </xf>
    <xf numFmtId="0" fontId="154" fillId="0" borderId="3" xfId="1614" applyFont="1" applyBorder="1" applyAlignment="1">
      <alignment horizontal="center" vertical="center"/>
    </xf>
    <xf numFmtId="0" fontId="154" fillId="0" borderId="3" xfId="1652" applyFont="1" applyBorder="1" applyAlignment="1">
      <alignment horizontal="center" vertical="center"/>
    </xf>
    <xf numFmtId="207" fontId="154" fillId="0" borderId="3" xfId="1614" applyNumberFormat="1" applyFont="1" applyBorder="1" applyAlignment="1">
      <alignment horizontal="center" vertical="center"/>
    </xf>
    <xf numFmtId="3" fontId="147" fillId="0" borderId="3" xfId="1614" applyNumberFormat="1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7" fillId="0" borderId="23" xfId="1614" applyFont="1" applyBorder="1" applyAlignment="1">
      <alignment horizontal="center" vertical="center"/>
    </xf>
    <xf numFmtId="0" fontId="147" fillId="0" borderId="24" xfId="1614" applyFont="1" applyBorder="1" applyAlignment="1">
      <alignment horizontal="left" vertical="center"/>
    </xf>
    <xf numFmtId="0" fontId="147" fillId="0" borderId="24" xfId="1614" applyFont="1" applyBorder="1" applyAlignment="1">
      <alignment vertical="center"/>
    </xf>
    <xf numFmtId="0" fontId="154" fillId="0" borderId="24" xfId="1614" applyFont="1" applyBorder="1" applyAlignment="1">
      <alignment horizontal="center" vertical="center"/>
    </xf>
    <xf numFmtId="3" fontId="147" fillId="0" borderId="24" xfId="1614" applyNumberFormat="1" applyFont="1" applyBorder="1" applyAlignment="1">
      <alignment horizontal="center" vertical="center"/>
    </xf>
    <xf numFmtId="3" fontId="147" fillId="0" borderId="25" xfId="1614" applyNumberFormat="1" applyFont="1" applyBorder="1" applyAlignment="1">
      <alignment horizontal="center" vertical="center"/>
    </xf>
    <xf numFmtId="0" fontId="149" fillId="0" borderId="26" xfId="1614" applyFont="1" applyBorder="1" applyAlignment="1">
      <alignment horizontal="center" vertical="center"/>
    </xf>
    <xf numFmtId="37" fontId="151" fillId="0" borderId="27" xfId="1614" applyNumberFormat="1" applyFont="1" applyBorder="1" applyAlignment="1">
      <alignment horizontal="center"/>
    </xf>
    <xf numFmtId="37" fontId="149" fillId="0" borderId="27" xfId="1614" applyNumberFormat="1" applyFont="1" applyBorder="1" applyAlignment="1">
      <alignment horizontal="center"/>
    </xf>
    <xf numFmtId="37" fontId="147" fillId="0" borderId="0" xfId="1614" applyNumberFormat="1" applyFont="1" applyAlignment="1">
      <alignment horizontal="center"/>
    </xf>
    <xf numFmtId="37" fontId="149" fillId="0" borderId="0" xfId="1614" applyNumberFormat="1" applyFont="1" applyAlignment="1">
      <alignment horizontal="center"/>
    </xf>
    <xf numFmtId="0" fontId="149" fillId="0" borderId="28" xfId="1614" applyFont="1" applyBorder="1" applyAlignment="1">
      <alignment horizontal="center" vertical="center"/>
    </xf>
    <xf numFmtId="37" fontId="151" fillId="0" borderId="29" xfId="1614" applyNumberFormat="1" applyFont="1" applyBorder="1" applyAlignment="1">
      <alignment horizontal="center"/>
    </xf>
    <xf numFmtId="37" fontId="149" fillId="0" borderId="29" xfId="1614" applyNumberFormat="1" applyFont="1" applyBorder="1" applyAlignment="1">
      <alignment horizontal="center"/>
    </xf>
    <xf numFmtId="37" fontId="155" fillId="0" borderId="0" xfId="1614" applyNumberFormat="1" applyFont="1" applyAlignment="1">
      <alignment horizontal="center"/>
    </xf>
    <xf numFmtId="37" fontId="155" fillId="0" borderId="30" xfId="1614" applyNumberFormat="1" applyFont="1" applyBorder="1" applyAlignment="1">
      <alignment horizontal="center"/>
    </xf>
    <xf numFmtId="37" fontId="155" fillId="0" borderId="32" xfId="1614" applyNumberFormat="1" applyFont="1" applyBorder="1" applyAlignment="1">
      <alignment horizontal="center"/>
    </xf>
    <xf numFmtId="0" fontId="146" fillId="0" borderId="0" xfId="1614" applyFont="1" applyAlignment="1">
      <alignment horizontal="center" vertical="center"/>
    </xf>
    <xf numFmtId="0" fontId="155" fillId="0" borderId="34" xfId="1614" applyFont="1" applyBorder="1" applyAlignment="1">
      <alignment vertical="center"/>
    </xf>
    <xf numFmtId="0" fontId="149" fillId="0" borderId="19" xfId="1614" applyFont="1" applyBorder="1"/>
    <xf numFmtId="0" fontId="149" fillId="0" borderId="19" xfId="1614" applyFont="1" applyBorder="1" applyAlignment="1">
      <alignment horizontal="center"/>
    </xf>
    <xf numFmtId="0" fontId="149" fillId="0" borderId="19" xfId="1614" applyFont="1" applyBorder="1" applyAlignment="1">
      <alignment horizontal="right"/>
    </xf>
    <xf numFmtId="0" fontId="149" fillId="0" borderId="31" xfId="1614" applyFont="1" applyBorder="1" applyAlignment="1">
      <alignment horizontal="right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165" fontId="154" fillId="0" borderId="0" xfId="1652" applyNumberFormat="1" applyFont="1" applyAlignment="1">
      <alignment vertical="center"/>
    </xf>
    <xf numFmtId="0" fontId="149" fillId="0" borderId="0" xfId="1652" applyFont="1" applyAlignment="1">
      <alignment horizontal="right"/>
    </xf>
    <xf numFmtId="0" fontId="156" fillId="0" borderId="0" xfId="1644" applyFont="1" applyAlignment="1">
      <alignment horizontal="center" vertical="center"/>
    </xf>
    <xf numFmtId="0" fontId="154" fillId="0" borderId="0" xfId="1652" applyFont="1" applyAlignment="1">
      <alignment vertical="center"/>
    </xf>
    <xf numFmtId="0" fontId="157" fillId="39" borderId="83" xfId="2670" applyFont="1" applyFill="1" applyBorder="1" applyAlignment="1">
      <alignment horizontal="left" vertical="center"/>
    </xf>
    <xf numFmtId="0" fontId="157" fillId="39" borderId="84" xfId="2670" applyFont="1" applyFill="1" applyBorder="1" applyAlignment="1">
      <alignment horizontal="center" vertical="center"/>
    </xf>
    <xf numFmtId="0" fontId="157" fillId="39" borderId="86" xfId="2670" applyFont="1" applyFill="1" applyBorder="1" applyAlignment="1">
      <alignment horizontal="left" vertical="center"/>
    </xf>
    <xf numFmtId="0" fontId="157" fillId="39" borderId="82" xfId="2670" applyFont="1" applyFill="1" applyBorder="1" applyAlignment="1">
      <alignment horizontal="center" vertical="center"/>
    </xf>
    <xf numFmtId="0" fontId="157" fillId="39" borderId="88" xfId="2670" applyFont="1" applyFill="1" applyBorder="1" applyAlignment="1">
      <alignment horizontal="left" vertical="center"/>
    </xf>
    <xf numFmtId="0" fontId="157" fillId="39" borderId="89" xfId="2670" applyFont="1" applyFill="1" applyBorder="1" applyAlignment="1">
      <alignment horizontal="center" vertical="center"/>
    </xf>
    <xf numFmtId="167" fontId="138" fillId="40" borderId="85" xfId="2672" applyFont="1" applyFill="1" applyBorder="1" applyAlignment="1" applyProtection="1">
      <alignment horizontal="right" vertical="center" wrapText="1"/>
      <protection locked="0"/>
    </xf>
    <xf numFmtId="167" fontId="138" fillId="40" borderId="87" xfId="2672" applyFont="1" applyFill="1" applyBorder="1" applyAlignment="1" applyProtection="1">
      <alignment horizontal="right" vertical="center"/>
      <protection locked="0"/>
    </xf>
    <xf numFmtId="169" fontId="138" fillId="40" borderId="87" xfId="2672" applyNumberFormat="1" applyFont="1" applyFill="1" applyBorder="1" applyAlignment="1" applyProtection="1">
      <alignment horizontal="right" vertical="center"/>
      <protection locked="0"/>
    </xf>
    <xf numFmtId="169" fontId="138" fillId="40" borderId="90" xfId="2672" applyNumberFormat="1" applyFont="1" applyFill="1" applyBorder="1" applyAlignment="1" applyProtection="1">
      <alignment horizontal="right" vertical="center"/>
      <protection locked="0"/>
    </xf>
    <xf numFmtId="0" fontId="118" fillId="0" borderId="0" xfId="1451" applyFont="1"/>
    <xf numFmtId="0" fontId="119" fillId="0" borderId="0" xfId="1451" applyFont="1" applyAlignment="1">
      <alignment vertical="center"/>
    </xf>
    <xf numFmtId="0" fontId="145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3" fillId="0" borderId="0" xfId="1451" applyFont="1" applyAlignment="1">
      <alignment vertical="center"/>
    </xf>
    <xf numFmtId="0" fontId="113" fillId="0" borderId="0" xfId="1451" applyFont="1" applyAlignment="1">
      <alignment horizontal="center" vertical="center"/>
    </xf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120" fillId="35" borderId="0" xfId="1451" applyFont="1" applyFill="1" applyAlignment="1">
      <alignment vertical="center"/>
    </xf>
    <xf numFmtId="0" fontId="123" fillId="0" borderId="19" xfId="1451" applyFont="1" applyBorder="1" applyAlignment="1">
      <alignment horizontal="center"/>
    </xf>
    <xf numFmtId="0" fontId="123" fillId="0" borderId="19" xfId="1451" applyFont="1" applyBorder="1"/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2" xfId="2673" applyFont="1" applyBorder="1" applyAlignment="1">
      <alignment horizontal="center" vertical="center" wrapText="1"/>
    </xf>
    <xf numFmtId="0" fontId="161" fillId="0" borderId="0" xfId="2673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63" fillId="0" borderId="0" xfId="2673" applyFont="1" applyAlignment="1">
      <alignment vertical="center" wrapText="1"/>
    </xf>
    <xf numFmtId="0" fontId="144" fillId="35" borderId="94" xfId="2673" applyFont="1" applyFill="1" applyBorder="1" applyAlignment="1">
      <alignment vertical="center" wrapText="1"/>
    </xf>
    <xf numFmtId="0" fontId="144" fillId="43" borderId="94" xfId="2673" applyFont="1" applyFill="1" applyBorder="1" applyAlignment="1">
      <alignment vertical="center" wrapText="1"/>
    </xf>
    <xf numFmtId="0" fontId="160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8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2" fontId="168" fillId="0" borderId="0" xfId="2673" applyNumberFormat="1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69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98" xfId="2673" applyFont="1" applyFill="1" applyBorder="1" applyAlignment="1">
      <alignment vertical="center" wrapText="1"/>
    </xf>
    <xf numFmtId="0" fontId="103" fillId="0" borderId="64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7" fillId="0" borderId="21" xfId="1614" applyFont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49" fontId="89" fillId="33" borderId="60" xfId="0" applyNumberFormat="1" applyFont="1" applyFill="1" applyBorder="1" applyAlignment="1">
      <alignment horizontal="left" vertical="center" wrapText="1"/>
    </xf>
    <xf numFmtId="49" fontId="89" fillId="33" borderId="61" xfId="0" applyNumberFormat="1" applyFont="1" applyFill="1" applyBorder="1" applyAlignment="1">
      <alignment horizontal="left" vertical="center"/>
    </xf>
    <xf numFmtId="41" fontId="150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0" fontId="113" fillId="33" borderId="0" xfId="0" applyFont="1" applyFill="1" applyAlignment="1">
      <alignment horizontal="left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72" fillId="0" borderId="69" xfId="1450" applyFont="1" applyBorder="1" applyAlignment="1">
      <alignment horizontal="center" vertical="center"/>
    </xf>
    <xf numFmtId="0" fontId="172" fillId="0" borderId="99" xfId="1450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1" fillId="0" borderId="21" xfId="0" applyFont="1" applyBorder="1" applyAlignment="1">
      <alignment horizontal="left" vertical="center" wrapText="1"/>
    </xf>
    <xf numFmtId="0" fontId="111" fillId="0" borderId="20" xfId="1652" applyFont="1" applyBorder="1" applyAlignment="1">
      <alignment horizontal="center" vertical="center"/>
    </xf>
    <xf numFmtId="0" fontId="125" fillId="33" borderId="20" xfId="1652" applyFont="1" applyFill="1" applyBorder="1" applyAlignment="1">
      <alignment horizontal="center" vertical="center"/>
    </xf>
    <xf numFmtId="0" fontId="40" fillId="33" borderId="21" xfId="1451" applyFont="1" applyFill="1" applyBorder="1" applyAlignment="1">
      <alignment horizontal="left" vertical="center" wrapText="1"/>
    </xf>
    <xf numFmtId="0" fontId="111" fillId="0" borderId="21" xfId="1652" applyFont="1" applyBorder="1" applyAlignment="1">
      <alignment vertical="center"/>
    </xf>
    <xf numFmtId="0" fontId="41" fillId="0" borderId="21" xfId="1450" applyFont="1" applyBorder="1" applyAlignment="1">
      <alignment vertical="center" wrapText="1"/>
    </xf>
    <xf numFmtId="3" fontId="7" fillId="0" borderId="21" xfId="1599" applyNumberFormat="1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 wrapText="1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7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96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97" xfId="2673" applyBorder="1" applyAlignment="1">
      <alignment horizontal="center" vertical="center" wrapText="1"/>
    </xf>
    <xf numFmtId="9" fontId="168" fillId="0" borderId="0" xfId="2675" applyFont="1" applyFill="1" applyBorder="1" applyAlignment="1">
      <alignment horizontal="center" vertical="center" wrapText="1"/>
    </xf>
    <xf numFmtId="0" fontId="165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2" xfId="2673" applyNumberFormat="1" applyFont="1" applyFill="1" applyBorder="1" applyAlignment="1">
      <alignment horizontal="center" vertical="center" wrapText="1"/>
    </xf>
    <xf numFmtId="2" fontId="132" fillId="35" borderId="95" xfId="2673" applyNumberFormat="1" applyFont="1" applyFill="1" applyBorder="1" applyAlignment="1">
      <alignment horizontal="center" vertical="center" wrapText="1"/>
    </xf>
    <xf numFmtId="0" fontId="161" fillId="41" borderId="91" xfId="2673" applyFont="1" applyFill="1" applyBorder="1" applyAlignment="1">
      <alignment horizontal="center" vertical="center" wrapText="1"/>
    </xf>
    <xf numFmtId="0" fontId="161" fillId="41" borderId="92" xfId="2673" applyFont="1" applyFill="1" applyBorder="1" applyAlignment="1">
      <alignment horizontal="center" vertical="center" wrapText="1"/>
    </xf>
    <xf numFmtId="0" fontId="161" fillId="41" borderId="93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9" fontId="132" fillId="0" borderId="65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9" fontId="132" fillId="35" borderId="65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164" fillId="0" borderId="50" xfId="2673" applyFont="1" applyBorder="1" applyAlignment="1">
      <alignment horizontal="center" vertical="center" wrapText="1"/>
    </xf>
    <xf numFmtId="0" fontId="164" fillId="0" borderId="58" xfId="2673" applyFont="1" applyBorder="1" applyAlignment="1">
      <alignment horizontal="center" vertical="center" wrapText="1"/>
    </xf>
    <xf numFmtId="0" fontId="164" fillId="44" borderId="3" xfId="2673" applyFont="1" applyFill="1" applyBorder="1" applyAlignment="1">
      <alignment horizontal="center" vertical="center" wrapText="1"/>
    </xf>
    <xf numFmtId="0" fontId="164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0" fontId="161" fillId="42" borderId="91" xfId="2673" applyFont="1" applyFill="1" applyBorder="1" applyAlignment="1">
      <alignment horizontal="center" vertical="center" wrapText="1"/>
    </xf>
    <xf numFmtId="0" fontId="161" fillId="42" borderId="92" xfId="2673" applyFont="1" applyFill="1" applyBorder="1" applyAlignment="1">
      <alignment horizontal="center" vertical="center" wrapText="1"/>
    </xf>
    <xf numFmtId="0" fontId="161" fillId="42" borderId="93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2" fontId="132" fillId="43" borderId="62" xfId="2673" applyNumberFormat="1" applyFont="1" applyFill="1" applyBorder="1" applyAlignment="1">
      <alignment horizontal="center" vertical="center" wrapText="1"/>
    </xf>
    <xf numFmtId="2" fontId="132" fillId="43" borderId="95" xfId="2673" applyNumberFormat="1" applyFont="1" applyFill="1" applyBorder="1" applyAlignment="1">
      <alignment horizontal="center" vertical="center" wrapText="1"/>
    </xf>
    <xf numFmtId="0" fontId="6" fillId="34" borderId="77" xfId="2670" applyFill="1" applyBorder="1" applyAlignment="1">
      <alignment horizontal="center" vertical="center"/>
    </xf>
    <xf numFmtId="0" fontId="136" fillId="0" borderId="7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51" fillId="30" borderId="3" xfId="1614" applyFont="1" applyFill="1" applyBorder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37" fontId="149" fillId="0" borderId="36" xfId="1614" applyNumberFormat="1" applyFont="1" applyBorder="1" applyAlignment="1">
      <alignment horizontal="center"/>
    </xf>
    <xf numFmtId="0" fontId="153" fillId="35" borderId="51" xfId="1614" applyFont="1" applyFill="1" applyBorder="1" applyAlignment="1">
      <alignment horizontal="center" vertical="center"/>
    </xf>
    <xf numFmtId="0" fontId="153" fillId="35" borderId="49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/>
    </xf>
    <xf numFmtId="0" fontId="153" fillId="35" borderId="21" xfId="1614" applyFont="1" applyFill="1" applyBorder="1" applyAlignment="1">
      <alignment horizontal="center" vertical="center"/>
    </xf>
    <xf numFmtId="0" fontId="153" fillId="35" borderId="33" xfId="1614" applyFont="1" applyFill="1" applyBorder="1" applyAlignment="1">
      <alignment horizontal="center" vertical="center"/>
    </xf>
    <xf numFmtId="0" fontId="153" fillId="35" borderId="53" xfId="1614" applyFont="1" applyFill="1" applyBorder="1" applyAlignment="1">
      <alignment horizontal="center" vertical="center"/>
    </xf>
    <xf numFmtId="0" fontId="153" fillId="35" borderId="3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 wrapText="1"/>
    </xf>
    <xf numFmtId="0" fontId="153" fillId="35" borderId="21" xfId="1614" applyFont="1" applyFill="1" applyBorder="1" applyAlignment="1">
      <alignment horizontal="center" vertical="center" wrapText="1"/>
    </xf>
    <xf numFmtId="0" fontId="153" fillId="35" borderId="33" xfId="1614" applyFont="1" applyFill="1" applyBorder="1" applyAlignment="1">
      <alignment horizontal="center" vertical="center" wrapText="1"/>
    </xf>
    <xf numFmtId="0" fontId="153" fillId="35" borderId="35" xfId="1652" applyFont="1" applyFill="1" applyBorder="1" applyAlignment="1">
      <alignment horizontal="center" vertical="center" wrapText="1"/>
    </xf>
    <xf numFmtId="0" fontId="153" fillId="35" borderId="33" xfId="1652" applyFont="1" applyFill="1" applyBorder="1" applyAlignment="1">
      <alignment horizontal="center" vertical="center" wrapText="1"/>
    </xf>
    <xf numFmtId="0" fontId="148" fillId="0" borderId="0" xfId="1644" applyFont="1" applyAlignment="1">
      <alignment horizontal="center" vertical="center"/>
    </xf>
    <xf numFmtId="37" fontId="155" fillId="0" borderId="19" xfId="1614" applyNumberFormat="1" applyFont="1" applyBorder="1" applyAlignment="1">
      <alignment horizontal="center"/>
    </xf>
    <xf numFmtId="0" fontId="151" fillId="0" borderId="0" xfId="1614" applyFont="1" applyAlignment="1">
      <alignment horizontal="left" vertical="top" wrapText="1"/>
    </xf>
    <xf numFmtId="37" fontId="149" fillId="0" borderId="0" xfId="1614" applyNumberFormat="1" applyFont="1" applyAlignment="1">
      <alignment horizontal="center"/>
    </xf>
    <xf numFmtId="0" fontId="170" fillId="0" borderId="26" xfId="1614" applyFont="1" applyBorder="1" applyAlignment="1">
      <alignment horizontal="left" vertical="center" wrapText="1"/>
    </xf>
    <xf numFmtId="0" fontId="170" fillId="0" borderId="36" xfId="1614" applyFont="1" applyBorder="1" applyAlignment="1">
      <alignment horizontal="left" vertical="center" wrapText="1"/>
    </xf>
    <xf numFmtId="0" fontId="170" fillId="0" borderId="48" xfId="1614" applyFont="1" applyBorder="1" applyAlignment="1">
      <alignment horizontal="left" vertical="center" wrapText="1"/>
    </xf>
    <xf numFmtId="0" fontId="170" fillId="0" borderId="28" xfId="1614" applyFont="1" applyBorder="1" applyAlignment="1">
      <alignment horizontal="left" vertical="center" wrapText="1"/>
    </xf>
    <xf numFmtId="0" fontId="170" fillId="0" borderId="0" xfId="1614" applyFont="1" applyAlignment="1">
      <alignment horizontal="left" vertical="center" wrapText="1"/>
    </xf>
    <xf numFmtId="0" fontId="170" fillId="0" borderId="37" xfId="1614" applyFont="1" applyBorder="1" applyAlignment="1">
      <alignment horizontal="left" vertical="center" wrapText="1"/>
    </xf>
    <xf numFmtId="0" fontId="154" fillId="0" borderId="0" xfId="1652" applyFont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0" fontId="153" fillId="35" borderId="54" xfId="1614" applyFont="1" applyFill="1" applyBorder="1" applyAlignment="1">
      <alignment horizontal="center" vertical="center"/>
    </xf>
    <xf numFmtId="0" fontId="153" fillId="35" borderId="39" xfId="1614" applyFont="1" applyFill="1" applyBorder="1" applyAlignment="1">
      <alignment horizontal="center" vertic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208" fontId="172" fillId="0" borderId="73" xfId="1450" applyNumberFormat="1" applyFont="1" applyBorder="1" applyAlignment="1">
      <alignment horizontal="left" vertical="center"/>
    </xf>
    <xf numFmtId="208" fontId="172" fillId="0" borderId="74" xfId="1450" applyNumberFormat="1" applyFont="1" applyBorder="1" applyAlignment="1">
      <alignment horizontal="left" vertical="center"/>
    </xf>
    <xf numFmtId="49" fontId="130" fillId="33" borderId="59" xfId="0" applyNumberFormat="1" applyFont="1" applyFill="1" applyBorder="1" applyAlignment="1">
      <alignment horizontal="left" vertical="center"/>
    </xf>
    <xf numFmtId="49" fontId="130" fillId="33" borderId="40" xfId="0" applyNumberFormat="1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horizontal="left" vertical="center"/>
    </xf>
    <xf numFmtId="49" fontId="112" fillId="33" borderId="41" xfId="0" applyNumberFormat="1" applyFont="1" applyFill="1" applyBorder="1" applyAlignment="1">
      <alignment horizontal="left" vertical="center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49" fontId="112" fillId="33" borderId="50" xfId="0" applyNumberFormat="1" applyFont="1" applyFill="1" applyBorder="1" applyAlignment="1">
      <alignment horizontal="center" vertical="center"/>
    </xf>
    <xf numFmtId="49" fontId="112" fillId="33" borderId="41" xfId="0" applyNumberFormat="1" applyFont="1" applyFill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79" xfId="0" applyFont="1" applyFill="1" applyBorder="1" applyAlignment="1">
      <alignment horizontal="left" vertical="center"/>
    </xf>
    <xf numFmtId="0" fontId="130" fillId="33" borderId="60" xfId="0" applyFont="1" applyFill="1" applyBorder="1" applyAlignment="1">
      <alignment horizontal="left" vertical="center"/>
    </xf>
    <xf numFmtId="0" fontId="130" fillId="33" borderId="61" xfId="0" applyFont="1" applyFill="1" applyBorder="1" applyAlignment="1">
      <alignment horizontal="left" vertical="center"/>
    </xf>
    <xf numFmtId="0" fontId="89" fillId="33" borderId="80" xfId="0" applyFont="1" applyFill="1" applyBorder="1" applyAlignment="1">
      <alignment horizontal="center" vertical="center"/>
    </xf>
    <xf numFmtId="0" fontId="89" fillId="33" borderId="81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center"/>
    </xf>
    <xf numFmtId="0" fontId="116" fillId="33" borderId="73" xfId="0" applyFont="1" applyFill="1" applyBorder="1" applyAlignment="1">
      <alignment horizontal="center" vertical="center"/>
    </xf>
    <xf numFmtId="0" fontId="116" fillId="33" borderId="74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89" fillId="33" borderId="61" xfId="0" applyFont="1" applyFill="1" applyBorder="1" applyAlignment="1">
      <alignment horizontal="left" vertical="center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15" fontId="112" fillId="33" borderId="3" xfId="0" applyNumberFormat="1" applyFont="1" applyFill="1" applyBorder="1" applyAlignment="1">
      <alignment horizontal="center"/>
    </xf>
    <xf numFmtId="0" fontId="89" fillId="33" borderId="59" xfId="0" applyFont="1" applyFill="1" applyBorder="1" applyAlignment="1">
      <alignment horizontal="center" vertical="center"/>
    </xf>
    <xf numFmtId="0" fontId="89" fillId="33" borderId="40" xfId="0" applyFont="1" applyFill="1" applyBorder="1" applyAlignment="1">
      <alignment horizontal="center" vertical="center"/>
    </xf>
    <xf numFmtId="0" fontId="117" fillId="33" borderId="75" xfId="0" applyFont="1" applyFill="1" applyBorder="1" applyAlignment="1">
      <alignment horizontal="center" vertical="center" wrapText="1"/>
    </xf>
    <xf numFmtId="0" fontId="117" fillId="33" borderId="76" xfId="0" applyFont="1" applyFill="1" applyBorder="1" applyAlignment="1">
      <alignment horizontal="center" vertical="center" wrapText="1"/>
    </xf>
    <xf numFmtId="0" fontId="113" fillId="33" borderId="18" xfId="0" applyFont="1" applyFill="1" applyBorder="1" applyAlignment="1">
      <alignment horizontal="left" vertical="top" wrapText="1"/>
    </xf>
    <xf numFmtId="0" fontId="113" fillId="33" borderId="0" xfId="0" applyFont="1" applyFill="1" applyAlignment="1">
      <alignment horizontal="left" vertical="top" wrapText="1"/>
    </xf>
    <xf numFmtId="0" fontId="112" fillId="33" borderId="64" xfId="0" applyFont="1" applyFill="1" applyBorder="1" applyAlignment="1">
      <alignment horizontal="center"/>
    </xf>
    <xf numFmtId="0" fontId="112" fillId="33" borderId="62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5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2" fillId="33" borderId="0" xfId="0" applyFont="1" applyFill="1" applyAlignment="1">
      <alignment horizontal="center" vertical="center" wrapText="1"/>
    </xf>
    <xf numFmtId="0" fontId="112" fillId="33" borderId="37" xfId="0" applyFont="1" applyFill="1" applyBorder="1" applyAlignment="1">
      <alignment horizontal="center" vertical="center" wrapText="1"/>
    </xf>
    <xf numFmtId="0" fontId="112" fillId="33" borderId="44" xfId="0" applyFont="1" applyFill="1" applyBorder="1" applyAlignment="1">
      <alignment horizontal="center" vertical="center" wrapText="1"/>
    </xf>
    <xf numFmtId="0" fontId="112" fillId="33" borderId="45" xfId="0" applyFont="1" applyFill="1" applyBorder="1" applyAlignment="1">
      <alignment horizontal="center" vertical="center" wrapText="1"/>
    </xf>
    <xf numFmtId="0" fontId="120" fillId="35" borderId="26" xfId="1451" applyFont="1" applyFill="1" applyBorder="1" applyAlignment="1">
      <alignment horizontal="center" vertical="center"/>
    </xf>
    <xf numFmtId="0" fontId="120" fillId="35" borderId="36" xfId="1451" applyFont="1" applyFill="1" applyBorder="1" applyAlignment="1">
      <alignment horizontal="center" vertical="center"/>
    </xf>
    <xf numFmtId="0" fontId="120" fillId="35" borderId="48" xfId="1451" applyFont="1" applyFill="1" applyBorder="1" applyAlignment="1">
      <alignment horizontal="center" vertical="center"/>
    </xf>
    <xf numFmtId="0" fontId="120" fillId="35" borderId="28" xfId="1451" applyFont="1" applyFill="1" applyBorder="1" applyAlignment="1">
      <alignment horizontal="center" vertical="center"/>
    </xf>
    <xf numFmtId="0" fontId="120" fillId="35" borderId="0" xfId="1451" applyFont="1" applyFill="1" applyAlignment="1">
      <alignment horizontal="center" vertical="center"/>
    </xf>
    <xf numFmtId="0" fontId="120" fillId="35" borderId="37" xfId="1451" applyFont="1" applyFill="1" applyBorder="1" applyAlignment="1">
      <alignment horizontal="center" vertical="center"/>
    </xf>
    <xf numFmtId="0" fontId="120" fillId="35" borderId="34" xfId="1451" applyFont="1" applyFill="1" applyBorder="1" applyAlignment="1">
      <alignment horizontal="center" vertical="center"/>
    </xf>
    <xf numFmtId="0" fontId="120" fillId="35" borderId="19" xfId="1451" applyFont="1" applyFill="1" applyBorder="1" applyAlignment="1">
      <alignment horizontal="center" vertical="center"/>
    </xf>
    <xf numFmtId="0" fontId="120" fillId="35" borderId="31" xfId="1451" applyFont="1" applyFill="1" applyBorder="1" applyAlignment="1">
      <alignment horizontal="center" vertical="center"/>
    </xf>
    <xf numFmtId="0" fontId="158" fillId="0" borderId="0" xfId="1451" applyFont="1" applyAlignment="1">
      <alignment horizontal="left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0.32908965343808672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83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83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89647</xdr:colOff>
      <xdr:row>37</xdr:row>
      <xdr:rowOff>56030</xdr:rowOff>
    </xdr:from>
    <xdr:to>
      <xdr:col>19</xdr:col>
      <xdr:colOff>429825</xdr:colOff>
      <xdr:row>40</xdr:row>
      <xdr:rowOff>2403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EA86F8-D9AC-47EE-84BB-BC873E80A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18559" y="8863854"/>
          <a:ext cx="340178" cy="6299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217715</xdr:colOff>
      <xdr:row>79</xdr:row>
      <xdr:rowOff>13607</xdr:rowOff>
    </xdr:from>
    <xdr:to>
      <xdr:col>10</xdr:col>
      <xdr:colOff>557893</xdr:colOff>
      <xdr:row>82</xdr:row>
      <xdr:rowOff>72038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369454-8419-4EFE-8DC2-261742F40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22429" y="15416893"/>
          <a:ext cx="340178" cy="6299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127527</xdr:colOff>
      <xdr:row>2</xdr:row>
      <xdr:rowOff>0</xdr:rowOff>
    </xdr:from>
    <xdr:to>
      <xdr:col>21</xdr:col>
      <xdr:colOff>220362</xdr:colOff>
      <xdr:row>4</xdr:row>
      <xdr:rowOff>144029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507FE7BE-6878-462C-A665-E4EDE69A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173698">
          <a:off x="6919266" y="331304"/>
          <a:ext cx="854835" cy="442203"/>
        </a:xfrm>
        <a:prstGeom prst="rect">
          <a:avLst/>
        </a:prstGeom>
      </xdr:spPr>
    </xdr:pic>
    <xdr:clientData/>
  </xdr:twoCellAnchor>
  <xdr:twoCellAnchor>
    <xdr:from>
      <xdr:col>26</xdr:col>
      <xdr:colOff>84703</xdr:colOff>
      <xdr:row>5</xdr:row>
      <xdr:rowOff>27587</xdr:rowOff>
    </xdr:from>
    <xdr:to>
      <xdr:col>29</xdr:col>
      <xdr:colOff>266987</xdr:colOff>
      <xdr:row>16</xdr:row>
      <xdr:rowOff>117034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C33D5536-8572-4F99-BD34-0D62FCDF376A}"/>
            </a:ext>
          </a:extLst>
        </xdr:cNvPr>
        <xdr:cNvGrpSpPr/>
      </xdr:nvGrpSpPr>
      <xdr:grpSpPr>
        <a:xfrm>
          <a:off x="9584855" y="806152"/>
          <a:ext cx="1383262" cy="1745969"/>
          <a:chOff x="9713886" y="808452"/>
          <a:chExt cx="1342558" cy="1766630"/>
        </a:xfrm>
      </xdr:grpSpPr>
      <xdr:grpSp>
        <xdr:nvGrpSpPr>
          <xdr:cNvPr id="130" name="Group 13">
            <a:extLst>
              <a:ext uri="{FF2B5EF4-FFF2-40B4-BE49-F238E27FC236}">
                <a16:creationId xmlns:a16="http://schemas.microsoft.com/office/drawing/2014/main" id="{9DB17A52-6D0E-471E-AEFF-6F194540C6A9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14" name="Oval 1">
              <a:extLst>
                <a:ext uri="{FF2B5EF4-FFF2-40B4-BE49-F238E27FC236}">
                  <a16:creationId xmlns:a16="http://schemas.microsoft.com/office/drawing/2014/main" id="{DBBAB723-CE89-445E-9D2F-43AA4901F58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5" name="Straight Connector 3">
              <a:extLst>
                <a:ext uri="{FF2B5EF4-FFF2-40B4-BE49-F238E27FC236}">
                  <a16:creationId xmlns:a16="http://schemas.microsoft.com/office/drawing/2014/main" id="{EECEA846-1352-4786-8271-C747075C465F}"/>
                </a:ext>
              </a:extLst>
            </xdr:cNvPr>
            <xdr:cNvCxnSpPr>
              <a:stCxn id="171" idx="1"/>
              <a:endCxn id="17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6" name="Straight Connector 7">
              <a:extLst>
                <a:ext uri="{FF2B5EF4-FFF2-40B4-BE49-F238E27FC236}">
                  <a16:creationId xmlns:a16="http://schemas.microsoft.com/office/drawing/2014/main" id="{19AD7FBB-605E-4AC6-8A35-5864B52B0D79}"/>
                </a:ext>
              </a:extLst>
            </xdr:cNvPr>
            <xdr:cNvCxnSpPr>
              <a:stCxn id="171" idx="3"/>
              <a:endCxn id="17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1" name="Oval 140">
            <a:extLst>
              <a:ext uri="{FF2B5EF4-FFF2-40B4-BE49-F238E27FC236}">
                <a16:creationId xmlns:a16="http://schemas.microsoft.com/office/drawing/2014/main" id="{36A5D971-BD58-49BE-88D9-094BD95FE15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14">
            <a:extLst>
              <a:ext uri="{FF2B5EF4-FFF2-40B4-BE49-F238E27FC236}">
                <a16:creationId xmlns:a16="http://schemas.microsoft.com/office/drawing/2014/main" id="{37A44265-746F-40CC-AC3C-C0AF742559E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11" name="Oval 210">
              <a:extLst>
                <a:ext uri="{FF2B5EF4-FFF2-40B4-BE49-F238E27FC236}">
                  <a16:creationId xmlns:a16="http://schemas.microsoft.com/office/drawing/2014/main" id="{D16F9905-70DA-4F2A-851D-CA97D27C529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2" name="Straight Connector 211">
              <a:extLst>
                <a:ext uri="{FF2B5EF4-FFF2-40B4-BE49-F238E27FC236}">
                  <a16:creationId xmlns:a16="http://schemas.microsoft.com/office/drawing/2014/main" id="{B667BECF-C45C-4F02-877B-11973C79CBDC}"/>
                </a:ext>
              </a:extLst>
            </xdr:cNvPr>
            <xdr:cNvCxnSpPr>
              <a:stCxn id="211" idx="1"/>
              <a:endCxn id="21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3" name="Straight Connector 212">
              <a:extLst>
                <a:ext uri="{FF2B5EF4-FFF2-40B4-BE49-F238E27FC236}">
                  <a16:creationId xmlns:a16="http://schemas.microsoft.com/office/drawing/2014/main" id="{FB8223E3-981C-4F6D-B930-0BBC2C8F5789}"/>
                </a:ext>
              </a:extLst>
            </xdr:cNvPr>
            <xdr:cNvCxnSpPr>
              <a:stCxn id="211" idx="3"/>
              <a:endCxn id="21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3" name="Oval 142">
            <a:extLst>
              <a:ext uri="{FF2B5EF4-FFF2-40B4-BE49-F238E27FC236}">
                <a16:creationId xmlns:a16="http://schemas.microsoft.com/office/drawing/2014/main" id="{4DCB702C-F9E4-4C3D-9A2E-196788387F56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B54B16B4-1937-483D-8B75-ECDB517A837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C9DD45D9-E5FB-4754-BB22-13CC24096E4C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5CEDDC2C-5211-4343-BF7A-164B0E8A799E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F1E09E66-E364-4DB6-8B7E-7F6FB132E49C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0C61A9B0-E2B7-47BE-B008-77815F465E4C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8C9F9463-27D6-4AE3-B862-C603466BA2CE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B44A0AEA-446D-4482-849C-088F4A7030B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074C38E3-C954-435C-BAF7-5F1169C04E87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DF2C2058-713A-44D9-BBB2-A11A77CA80AF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969FBC77-1964-4615-96A1-FDAFE4D36C7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105A2A21-57F6-4D3E-8497-7BF3578556F4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19F12A18-DCA3-493E-A6F0-80AB92213C4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50">
            <a:extLst>
              <a:ext uri="{FF2B5EF4-FFF2-40B4-BE49-F238E27FC236}">
                <a16:creationId xmlns:a16="http://schemas.microsoft.com/office/drawing/2014/main" id="{CCB71DB7-0BBA-4C68-A9C8-04C10A1CE4D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152152BE-7AD7-4697-AAC8-EE30720EEAC9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52">
            <a:extLst>
              <a:ext uri="{FF2B5EF4-FFF2-40B4-BE49-F238E27FC236}">
                <a16:creationId xmlns:a16="http://schemas.microsoft.com/office/drawing/2014/main" id="{D6576A52-6D6F-46BF-91FF-E1EB2E2E0191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85F391AB-4095-47D2-8CDE-DA271247830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C3F8ECD9-F40D-47D0-8F1B-DFFB4CC6A103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5BC8C214-766B-4E29-A663-EB9A3FEC8308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02135B16-7202-4737-8B80-E21997D4199A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67C1C4ED-9C1E-4AF7-99B5-8012FCDDE195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0638864E-DB5E-4493-8A47-4767A352AC3C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65D6A219-15EA-44EB-9745-5A944F4C666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1" name="Isosceles Triangle 180">
            <a:extLst>
              <a:ext uri="{FF2B5EF4-FFF2-40B4-BE49-F238E27FC236}">
                <a16:creationId xmlns:a16="http://schemas.microsoft.com/office/drawing/2014/main" id="{78705893-4EFD-4CFE-AD8B-26D8BD4E910D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82" name="Isosceles Triangle 181">
            <a:extLst>
              <a:ext uri="{FF2B5EF4-FFF2-40B4-BE49-F238E27FC236}">
                <a16:creationId xmlns:a16="http://schemas.microsoft.com/office/drawing/2014/main" id="{2DE062EF-9F86-40C3-AA74-F92F6AD1907A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83" name="Group 73">
            <a:extLst>
              <a:ext uri="{FF2B5EF4-FFF2-40B4-BE49-F238E27FC236}">
                <a16:creationId xmlns:a16="http://schemas.microsoft.com/office/drawing/2014/main" id="{64586138-F073-47FC-B42E-03B11B672228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209" name="TextBox 208">
              <a:extLst>
                <a:ext uri="{FF2B5EF4-FFF2-40B4-BE49-F238E27FC236}">
                  <a16:creationId xmlns:a16="http://schemas.microsoft.com/office/drawing/2014/main" id="{0AADDB58-2742-4481-8A75-C6FA6CF694E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10" name="Straight Connector 209">
              <a:extLst>
                <a:ext uri="{FF2B5EF4-FFF2-40B4-BE49-F238E27FC236}">
                  <a16:creationId xmlns:a16="http://schemas.microsoft.com/office/drawing/2014/main" id="{AAB7294D-01C1-4037-A97B-9E9977C253F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4" name="Group 74">
            <a:extLst>
              <a:ext uri="{FF2B5EF4-FFF2-40B4-BE49-F238E27FC236}">
                <a16:creationId xmlns:a16="http://schemas.microsoft.com/office/drawing/2014/main" id="{27D20936-7B90-4B5A-9A3A-19B16BDF11DF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07" name="TextBox 206">
              <a:extLst>
                <a:ext uri="{FF2B5EF4-FFF2-40B4-BE49-F238E27FC236}">
                  <a16:creationId xmlns:a16="http://schemas.microsoft.com/office/drawing/2014/main" id="{912B6070-49A2-431E-B5CD-037BB10356D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08" name="Straight Connector 207">
              <a:extLst>
                <a:ext uri="{FF2B5EF4-FFF2-40B4-BE49-F238E27FC236}">
                  <a16:creationId xmlns:a16="http://schemas.microsoft.com/office/drawing/2014/main" id="{6D578C6B-4CBA-45DA-8D66-6BE18FDD84B7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5" name="Group 89">
            <a:extLst>
              <a:ext uri="{FF2B5EF4-FFF2-40B4-BE49-F238E27FC236}">
                <a16:creationId xmlns:a16="http://schemas.microsoft.com/office/drawing/2014/main" id="{72AA2B44-1EC7-4EE7-B0E4-724A9D9DB714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03" name="Straight Connector 202">
              <a:extLst>
                <a:ext uri="{FF2B5EF4-FFF2-40B4-BE49-F238E27FC236}">
                  <a16:creationId xmlns:a16="http://schemas.microsoft.com/office/drawing/2014/main" id="{ED6AF599-6F38-42DE-AE9C-640AD3809BE9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4" name="Straight Connector 79">
              <a:extLst>
                <a:ext uri="{FF2B5EF4-FFF2-40B4-BE49-F238E27FC236}">
                  <a16:creationId xmlns:a16="http://schemas.microsoft.com/office/drawing/2014/main" id="{8140056D-0857-47EA-938A-8E68BC7A392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5" name="Straight Connector 80">
              <a:extLst>
                <a:ext uri="{FF2B5EF4-FFF2-40B4-BE49-F238E27FC236}">
                  <a16:creationId xmlns:a16="http://schemas.microsoft.com/office/drawing/2014/main" id="{F4950445-3E97-4872-A390-C7B05852015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6" name="Straight Connector 88">
              <a:extLst>
                <a:ext uri="{FF2B5EF4-FFF2-40B4-BE49-F238E27FC236}">
                  <a16:creationId xmlns:a16="http://schemas.microsoft.com/office/drawing/2014/main" id="{339E48A1-00DC-4B4D-BFD7-E100513B6CB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6" name="Group 90">
            <a:extLst>
              <a:ext uri="{FF2B5EF4-FFF2-40B4-BE49-F238E27FC236}">
                <a16:creationId xmlns:a16="http://schemas.microsoft.com/office/drawing/2014/main" id="{E08897BF-3163-4AFF-87D1-161783F25BF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99" name="Straight Connector 198">
              <a:extLst>
                <a:ext uri="{FF2B5EF4-FFF2-40B4-BE49-F238E27FC236}">
                  <a16:creationId xmlns:a16="http://schemas.microsoft.com/office/drawing/2014/main" id="{13A5B742-4832-4485-9ED0-EDF1E854EBD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0" name="Straight Connector 199">
              <a:extLst>
                <a:ext uri="{FF2B5EF4-FFF2-40B4-BE49-F238E27FC236}">
                  <a16:creationId xmlns:a16="http://schemas.microsoft.com/office/drawing/2014/main" id="{D76976A9-F4C3-4284-B520-AE7AD819BE0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1" name="Straight Connector 200">
              <a:extLst>
                <a:ext uri="{FF2B5EF4-FFF2-40B4-BE49-F238E27FC236}">
                  <a16:creationId xmlns:a16="http://schemas.microsoft.com/office/drawing/2014/main" id="{1984B5B1-EA8F-4D5F-AEB8-1D66FCE9CBA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2" name="Straight Connector 201">
              <a:extLst>
                <a:ext uri="{FF2B5EF4-FFF2-40B4-BE49-F238E27FC236}">
                  <a16:creationId xmlns:a16="http://schemas.microsoft.com/office/drawing/2014/main" id="{47D6A73B-2BFF-4E2A-A5C8-155A8AB43A4A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4D33932A-6CB2-47DC-8C29-6EFF24C145AA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745D1C17-B0F5-4A7B-B0E1-D9024E26029B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Arrow Connector 188">
            <a:extLst>
              <a:ext uri="{FF2B5EF4-FFF2-40B4-BE49-F238E27FC236}">
                <a16:creationId xmlns:a16="http://schemas.microsoft.com/office/drawing/2014/main" id="{7C7F7715-1FDE-48DE-B521-BB6870D96E0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Arrow Connector 189">
            <a:extLst>
              <a:ext uri="{FF2B5EF4-FFF2-40B4-BE49-F238E27FC236}">
                <a16:creationId xmlns:a16="http://schemas.microsoft.com/office/drawing/2014/main" id="{4AF68726-3162-46B4-BE1C-B585C78F6F2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91" name="Group 155">
            <a:extLst>
              <a:ext uri="{FF2B5EF4-FFF2-40B4-BE49-F238E27FC236}">
                <a16:creationId xmlns:a16="http://schemas.microsoft.com/office/drawing/2014/main" id="{E92050FF-1455-4C50-8BF7-C388FB94545A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96" name="Isosceles Triangle 195">
              <a:extLst>
                <a:ext uri="{FF2B5EF4-FFF2-40B4-BE49-F238E27FC236}">
                  <a16:creationId xmlns:a16="http://schemas.microsoft.com/office/drawing/2014/main" id="{EBA0687D-AF80-426A-A7C7-7C5AB9154AC9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7" name="Isosceles Triangle 196">
              <a:extLst>
                <a:ext uri="{FF2B5EF4-FFF2-40B4-BE49-F238E27FC236}">
                  <a16:creationId xmlns:a16="http://schemas.microsoft.com/office/drawing/2014/main" id="{CBA95FEA-A32E-4D76-933F-E8515C3E184D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8" name="Isosceles Triangle 197">
              <a:extLst>
                <a:ext uri="{FF2B5EF4-FFF2-40B4-BE49-F238E27FC236}">
                  <a16:creationId xmlns:a16="http://schemas.microsoft.com/office/drawing/2014/main" id="{BF04C106-547F-44DA-8F12-702C11836D4C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92" name="Group 134">
            <a:extLst>
              <a:ext uri="{FF2B5EF4-FFF2-40B4-BE49-F238E27FC236}">
                <a16:creationId xmlns:a16="http://schemas.microsoft.com/office/drawing/2014/main" id="{73A8B67A-53FF-4DDC-8EF6-81D8F9BA881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93" name="Isosceles Triangle 192">
              <a:extLst>
                <a:ext uri="{FF2B5EF4-FFF2-40B4-BE49-F238E27FC236}">
                  <a16:creationId xmlns:a16="http://schemas.microsoft.com/office/drawing/2014/main" id="{BB65D784-A068-4277-8509-CA127FD5F2E2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4" name="Isosceles Triangle 193">
              <a:extLst>
                <a:ext uri="{FF2B5EF4-FFF2-40B4-BE49-F238E27FC236}">
                  <a16:creationId xmlns:a16="http://schemas.microsoft.com/office/drawing/2014/main" id="{DD15FA13-C323-4824-A6BD-8B7877FC4992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5" name="Isosceles Triangle 194">
              <a:extLst>
                <a:ext uri="{FF2B5EF4-FFF2-40B4-BE49-F238E27FC236}">
                  <a16:creationId xmlns:a16="http://schemas.microsoft.com/office/drawing/2014/main" id="{6590BCA1-8C61-4476-AEEE-0F16958FB6B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3</xdr:col>
      <xdr:colOff>361513</xdr:colOff>
      <xdr:row>23</xdr:row>
      <xdr:rowOff>11403</xdr:rowOff>
    </xdr:from>
    <xdr:to>
      <xdr:col>9</xdr:col>
      <xdr:colOff>358589</xdr:colOff>
      <xdr:row>23</xdr:row>
      <xdr:rowOff>22412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D2B7AB06-A0B0-46E1-8204-5906E39681B4}"/>
            </a:ext>
          </a:extLst>
        </xdr:cNvPr>
        <xdr:cNvCxnSpPr/>
      </xdr:nvCxnSpPr>
      <xdr:spPr>
        <a:xfrm flipH="1" flipV="1">
          <a:off x="1056278" y="3619697"/>
          <a:ext cx="2283076" cy="1100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250429</xdr:colOff>
      <xdr:row>14</xdr:row>
      <xdr:rowOff>22412</xdr:rowOff>
    </xdr:from>
    <xdr:to>
      <xdr:col>7</xdr:col>
      <xdr:colOff>369772</xdr:colOff>
      <xdr:row>18</xdr:row>
      <xdr:rowOff>96955</xdr:rowOff>
    </xdr:to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D58FADEC-2D8F-4CB9-B599-37D687F9400B}"/>
            </a:ext>
          </a:extLst>
        </xdr:cNvPr>
        <xdr:cNvSpPr txBox="1"/>
      </xdr:nvSpPr>
      <xdr:spPr>
        <a:xfrm>
          <a:off x="1708168" y="2159325"/>
          <a:ext cx="881343" cy="67089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9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HERI SISWANTO</a:t>
          </a:r>
          <a:endParaRPr lang="id-ID" sz="9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310258</xdr:colOff>
      <xdr:row>20</xdr:row>
      <xdr:rowOff>68570</xdr:rowOff>
    </xdr:from>
    <xdr:to>
      <xdr:col>5</xdr:col>
      <xdr:colOff>59086</xdr:colOff>
      <xdr:row>21</xdr:row>
      <xdr:rowOff>40680</xdr:rowOff>
    </xdr:to>
    <xdr:grpSp>
      <xdr:nvGrpSpPr>
        <xdr:cNvPr id="221" name="Group 220">
          <a:extLst>
            <a:ext uri="{FF2B5EF4-FFF2-40B4-BE49-F238E27FC236}">
              <a16:creationId xmlns:a16="http://schemas.microsoft.com/office/drawing/2014/main" id="{C1B1B205-EC8E-4754-A0D1-E32E38BF7F11}"/>
            </a:ext>
          </a:extLst>
        </xdr:cNvPr>
        <xdr:cNvGrpSpPr/>
      </xdr:nvGrpSpPr>
      <xdr:grpSpPr>
        <a:xfrm>
          <a:off x="1386997" y="3100005"/>
          <a:ext cx="129828" cy="12119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2" name="Oval 221">
            <a:extLst>
              <a:ext uri="{FF2B5EF4-FFF2-40B4-BE49-F238E27FC236}">
                <a16:creationId xmlns:a16="http://schemas.microsoft.com/office/drawing/2014/main" id="{293627A0-F362-4AB4-AC49-D41C4570686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019F88A2-A25B-4C71-A332-1DA643023A6A}"/>
              </a:ext>
            </a:extLst>
          </xdr:cNvPr>
          <xdr:cNvCxnSpPr>
            <a:stCxn id="222" idx="1"/>
            <a:endCxn id="2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8CCCD940-501A-4275-8A70-3CD2250C4001}"/>
              </a:ext>
            </a:extLst>
          </xdr:cNvPr>
          <xdr:cNvCxnSpPr>
            <a:stCxn id="222" idx="3"/>
            <a:endCxn id="2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296030</xdr:colOff>
      <xdr:row>18</xdr:row>
      <xdr:rowOff>23357</xdr:rowOff>
    </xdr:from>
    <xdr:to>
      <xdr:col>6</xdr:col>
      <xdr:colOff>57906</xdr:colOff>
      <xdr:row>18</xdr:row>
      <xdr:rowOff>148912</xdr:rowOff>
    </xdr:to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8000B6C8-B98F-4011-8845-6B370386F28C}"/>
            </a:ext>
          </a:extLst>
        </xdr:cNvPr>
        <xdr:cNvSpPr txBox="1"/>
      </xdr:nvSpPr>
      <xdr:spPr>
        <a:xfrm flipH="1">
          <a:off x="1753769" y="2756618"/>
          <a:ext cx="142876" cy="125555"/>
        </a:xfrm>
        <a:prstGeom prst="rect">
          <a:avLst/>
        </a:prstGeom>
        <a:solidFill>
          <a:srgbClr val="FF00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id-ID" sz="9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375172</xdr:colOff>
      <xdr:row>21</xdr:row>
      <xdr:rowOff>40680</xdr:rowOff>
    </xdr:from>
    <xdr:to>
      <xdr:col>9</xdr:col>
      <xdr:colOff>312521</xdr:colOff>
      <xdr:row>21</xdr:row>
      <xdr:rowOff>65279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3D7E686C-41CD-40EB-9A82-71083C7C0B52}"/>
            </a:ext>
          </a:extLst>
        </xdr:cNvPr>
        <xdr:cNvCxnSpPr>
          <a:stCxn id="222" idx="4"/>
          <a:endCxn id="6" idx="5"/>
        </xdr:cNvCxnSpPr>
      </xdr:nvCxnSpPr>
      <xdr:spPr>
        <a:xfrm>
          <a:off x="1450937" y="3335209"/>
          <a:ext cx="1842349" cy="24599"/>
        </a:xfrm>
        <a:prstGeom prst="line">
          <a:avLst/>
        </a:prstGeom>
        <a:ln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268942</xdr:colOff>
      <xdr:row>22</xdr:row>
      <xdr:rowOff>112059</xdr:rowOff>
    </xdr:from>
    <xdr:to>
      <xdr:col>9</xdr:col>
      <xdr:colOff>291353</xdr:colOff>
      <xdr:row>28</xdr:row>
      <xdr:rowOff>123265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6219CDEF-61E2-4472-8B78-EE89AAD2AC0C}"/>
            </a:ext>
          </a:extLst>
        </xdr:cNvPr>
        <xdr:cNvCxnSpPr/>
      </xdr:nvCxnSpPr>
      <xdr:spPr>
        <a:xfrm>
          <a:off x="3249707" y="3563471"/>
          <a:ext cx="22411" cy="95250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201706</xdr:colOff>
      <xdr:row>20</xdr:row>
      <xdr:rowOff>112059</xdr:rowOff>
    </xdr:from>
    <xdr:to>
      <xdr:col>9</xdr:col>
      <xdr:colOff>331534</xdr:colOff>
      <xdr:row>21</xdr:row>
      <xdr:rowOff>84169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C873F524-38B5-4301-98B0-367C09E050F6}"/>
            </a:ext>
          </a:extLst>
        </xdr:cNvPr>
        <xdr:cNvGrpSpPr/>
      </xdr:nvGrpSpPr>
      <xdr:grpSpPr>
        <a:xfrm>
          <a:off x="3183445" y="3143494"/>
          <a:ext cx="129828" cy="12119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D447E3A9-DF16-95CB-66BE-6C7C7E42D1F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AC30D571-28CA-0029-68C8-53D79A763C20}"/>
              </a:ext>
            </a:extLst>
          </xdr:cNvPr>
          <xdr:cNvCxnSpPr>
            <a:stCxn id="6" idx="1"/>
            <a:endCxn id="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8C524739-D757-FF42-D1E2-C2363C3CE650}"/>
              </a:ext>
            </a:extLst>
          </xdr:cNvPr>
          <xdr:cNvCxnSpPr>
            <a:stCxn id="6" idx="3"/>
            <a:endCxn id="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197224</xdr:colOff>
      <xdr:row>28</xdr:row>
      <xdr:rowOff>62753</xdr:rowOff>
    </xdr:from>
    <xdr:to>
      <xdr:col>18</xdr:col>
      <xdr:colOff>100852</xdr:colOff>
      <xdr:row>28</xdr:row>
      <xdr:rowOff>89647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BA973F2D-FFCC-462F-B836-B4C4CC82440F}"/>
            </a:ext>
          </a:extLst>
        </xdr:cNvPr>
        <xdr:cNvCxnSpPr/>
      </xdr:nvCxnSpPr>
      <xdr:spPr>
        <a:xfrm>
          <a:off x="3177989" y="4455459"/>
          <a:ext cx="3332628" cy="2689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268942</xdr:colOff>
      <xdr:row>30</xdr:row>
      <xdr:rowOff>67236</xdr:rowOff>
    </xdr:from>
    <xdr:to>
      <xdr:col>10</xdr:col>
      <xdr:colOff>17770</xdr:colOff>
      <xdr:row>31</xdr:row>
      <xdr:rowOff>39346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348D513E-A463-4792-A3BB-B87AC8A55B17}"/>
            </a:ext>
          </a:extLst>
        </xdr:cNvPr>
        <xdr:cNvGrpSpPr/>
      </xdr:nvGrpSpPr>
      <xdr:grpSpPr>
        <a:xfrm>
          <a:off x="3250681" y="4581258"/>
          <a:ext cx="129828" cy="12119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D6057242-99D1-B8F6-C22A-4650E0E482A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8C75EE3B-87F0-39E9-F545-AE2B220C8855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2798E863-A8E0-A63A-1A50-BF835EBD2693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358588</xdr:colOff>
      <xdr:row>30</xdr:row>
      <xdr:rowOff>22411</xdr:rowOff>
    </xdr:from>
    <xdr:to>
      <xdr:col>14</xdr:col>
      <xdr:colOff>107416</xdr:colOff>
      <xdr:row>30</xdr:row>
      <xdr:rowOff>151403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E8FEE9FA-50FE-4053-AE45-A350DB8E18FF}"/>
            </a:ext>
          </a:extLst>
        </xdr:cNvPr>
        <xdr:cNvGrpSpPr/>
      </xdr:nvGrpSpPr>
      <xdr:grpSpPr>
        <a:xfrm>
          <a:off x="4864327" y="4536433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D8B5114E-0F85-9ECD-1FB1-8F0D3AF7F5A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1AE360B2-0AC3-E9ED-F3A8-56216538F5B6}"/>
              </a:ext>
            </a:extLst>
          </xdr:cNvPr>
          <xdr:cNvCxnSpPr>
            <a:stCxn id="17" idx="1"/>
            <a:endCxn id="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497A5A7F-E5AE-BF92-3DD4-4F3D0CA85730}"/>
              </a:ext>
            </a:extLst>
          </xdr:cNvPr>
          <xdr:cNvCxnSpPr>
            <a:stCxn id="17" idx="3"/>
            <a:endCxn id="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266620</xdr:colOff>
      <xdr:row>21</xdr:row>
      <xdr:rowOff>84169</xdr:rowOff>
    </xdr:from>
    <xdr:to>
      <xdr:col>9</xdr:col>
      <xdr:colOff>333856</xdr:colOff>
      <xdr:row>30</xdr:row>
      <xdr:rowOff>67236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9E28BB32-8E41-4FBA-8223-4BBDE88CC0E5}"/>
            </a:ext>
          </a:extLst>
        </xdr:cNvPr>
        <xdr:cNvCxnSpPr>
          <a:stCxn id="6" idx="4"/>
          <a:endCxn id="13" idx="0"/>
        </xdr:cNvCxnSpPr>
      </xdr:nvCxnSpPr>
      <xdr:spPr>
        <a:xfrm>
          <a:off x="3247385" y="3378698"/>
          <a:ext cx="67236" cy="1383803"/>
        </a:xfrm>
        <a:prstGeom prst="line">
          <a:avLst/>
        </a:prstGeom>
        <a:ln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17770</xdr:colOff>
      <xdr:row>30</xdr:row>
      <xdr:rowOff>131732</xdr:rowOff>
    </xdr:from>
    <xdr:to>
      <xdr:col>13</xdr:col>
      <xdr:colOff>377601</xdr:colOff>
      <xdr:row>30</xdr:row>
      <xdr:rowOff>132513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8DB87463-B7E0-42F0-9D64-69164F84AD9C}"/>
            </a:ext>
          </a:extLst>
        </xdr:cNvPr>
        <xdr:cNvCxnSpPr>
          <a:stCxn id="13" idx="6"/>
          <a:endCxn id="17" idx="3"/>
        </xdr:cNvCxnSpPr>
      </xdr:nvCxnSpPr>
      <xdr:spPr>
        <a:xfrm>
          <a:off x="3379535" y="4826997"/>
          <a:ext cx="1502831" cy="781"/>
        </a:xfrm>
        <a:prstGeom prst="line">
          <a:avLst/>
        </a:prstGeom>
        <a:ln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158831</xdr:colOff>
      <xdr:row>20</xdr:row>
      <xdr:rowOff>105238</xdr:rowOff>
    </xdr:from>
    <xdr:to>
      <xdr:col>4</xdr:col>
      <xdr:colOff>290716</xdr:colOff>
      <xdr:row>21</xdr:row>
      <xdr:rowOff>94895</xdr:rowOff>
    </xdr:to>
    <xdr:sp macro="" textlink="">
      <xdr:nvSpPr>
        <xdr:cNvPr id="28" name="Isosceles Triangle 27">
          <a:extLst>
            <a:ext uri="{FF2B5EF4-FFF2-40B4-BE49-F238E27FC236}">
              <a16:creationId xmlns:a16="http://schemas.microsoft.com/office/drawing/2014/main" id="{13C580D7-5C48-4A5A-9BE1-01B863126A37}"/>
            </a:ext>
          </a:extLst>
        </xdr:cNvPr>
        <xdr:cNvSpPr/>
      </xdr:nvSpPr>
      <xdr:spPr>
        <a:xfrm>
          <a:off x="1235570" y="3136673"/>
          <a:ext cx="131885" cy="138744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174910</xdr:colOff>
      <xdr:row>20</xdr:row>
      <xdr:rowOff>62364</xdr:rowOff>
    </xdr:from>
    <xdr:to>
      <xdr:col>11</xdr:col>
      <xdr:colOff>339588</xdr:colOff>
      <xdr:row>23</xdr:row>
      <xdr:rowOff>140804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22E9FD7D-FDBF-4270-AB57-010131C8A1D4}"/>
            </a:ext>
          </a:extLst>
        </xdr:cNvPr>
        <xdr:cNvSpPr txBox="1"/>
      </xdr:nvSpPr>
      <xdr:spPr>
        <a:xfrm>
          <a:off x="3537649" y="3093799"/>
          <a:ext cx="545678" cy="52570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C1</a:t>
          </a:r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-200 </a:t>
          </a:r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CA-3</a:t>
          </a:r>
        </a:p>
      </xdr:txBody>
    </xdr:sp>
    <xdr:clientData/>
  </xdr:twoCellAnchor>
  <xdr:twoCellAnchor>
    <xdr:from>
      <xdr:col>3</xdr:col>
      <xdr:colOff>314739</xdr:colOff>
      <xdr:row>15</xdr:row>
      <xdr:rowOff>24848</xdr:rowOff>
    </xdr:from>
    <xdr:to>
      <xdr:col>5</xdr:col>
      <xdr:colOff>125962</xdr:colOff>
      <xdr:row>20</xdr:row>
      <xdr:rowOff>4778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B3D37DE-8632-4914-BB6D-4F07ED6E5A16}"/>
            </a:ext>
          </a:extLst>
        </xdr:cNvPr>
        <xdr:cNvSpPr txBox="1"/>
      </xdr:nvSpPr>
      <xdr:spPr>
        <a:xfrm>
          <a:off x="1010478" y="2310848"/>
          <a:ext cx="573223" cy="7253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endParaRPr lang="en-US" sz="500" b="1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C12-200 </a:t>
          </a:r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CA-1</a:t>
          </a: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 106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</xdr:txBody>
    </xdr:sp>
    <xdr:clientData/>
  </xdr:twoCellAnchor>
  <xdr:twoCellAnchor>
    <xdr:from>
      <xdr:col>5</xdr:col>
      <xdr:colOff>40073</xdr:colOff>
      <xdr:row>18</xdr:row>
      <xdr:rowOff>148912</xdr:rowOff>
    </xdr:from>
    <xdr:to>
      <xdr:col>5</xdr:col>
      <xdr:colOff>367468</xdr:colOff>
      <xdr:row>20</xdr:row>
      <xdr:rowOff>86319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44F4CED2-EEED-4A4B-B437-7D32E915CC07}"/>
            </a:ext>
          </a:extLst>
        </xdr:cNvPr>
        <xdr:cNvCxnSpPr>
          <a:stCxn id="222" idx="7"/>
          <a:endCxn id="225" idx="2"/>
        </xdr:cNvCxnSpPr>
      </xdr:nvCxnSpPr>
      <xdr:spPr>
        <a:xfrm flipV="1">
          <a:off x="1497812" y="2882173"/>
          <a:ext cx="327395" cy="235581"/>
        </a:xfrm>
        <a:prstGeom prst="line">
          <a:avLst/>
        </a:prstGeom>
        <a:ln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190500</xdr:colOff>
      <xdr:row>51</xdr:row>
      <xdr:rowOff>16565</xdr:rowOff>
    </xdr:from>
    <xdr:to>
      <xdr:col>27</xdr:col>
      <xdr:colOff>266700</xdr:colOff>
      <xdr:row>52</xdr:row>
      <xdr:rowOff>19878</xdr:rowOff>
    </xdr:to>
    <xdr:sp macro="" textlink="">
      <xdr:nvSpPr>
        <xdr:cNvPr id="94" name="Freeform: Shape 93">
          <a:extLst>
            <a:ext uri="{FF2B5EF4-FFF2-40B4-BE49-F238E27FC236}">
              <a16:creationId xmlns:a16="http://schemas.microsoft.com/office/drawing/2014/main" id="{94C1148D-CDDC-4023-8C4B-5878E02AD865}"/>
            </a:ext>
          </a:extLst>
        </xdr:cNvPr>
        <xdr:cNvSpPr/>
      </xdr:nvSpPr>
      <xdr:spPr>
        <a:xfrm>
          <a:off x="10129630" y="7810500"/>
          <a:ext cx="76200" cy="152400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41413</xdr:colOff>
      <xdr:row>52</xdr:row>
      <xdr:rowOff>8283</xdr:rowOff>
    </xdr:from>
    <xdr:to>
      <xdr:col>28</xdr:col>
      <xdr:colOff>98563</xdr:colOff>
      <xdr:row>53</xdr:row>
      <xdr:rowOff>47832</xdr:rowOff>
    </xdr:to>
    <xdr:sp macro="" textlink="">
      <xdr:nvSpPr>
        <xdr:cNvPr id="95" name="Freeform: Shape 94">
          <a:extLst>
            <a:ext uri="{FF2B5EF4-FFF2-40B4-BE49-F238E27FC236}">
              <a16:creationId xmlns:a16="http://schemas.microsoft.com/office/drawing/2014/main" id="{7DDA20AD-7AAE-4CBA-B0CB-8700644F77DC}"/>
            </a:ext>
          </a:extLst>
        </xdr:cNvPr>
        <xdr:cNvSpPr/>
      </xdr:nvSpPr>
      <xdr:spPr>
        <a:xfrm>
          <a:off x="10361543" y="7951305"/>
          <a:ext cx="57150" cy="188636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1134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1135</v>
      </c>
      <c r="G7" s="528" t="s">
        <v>41</v>
      </c>
      <c r="H7" s="524" t="s">
        <v>1042</v>
      </c>
      <c r="I7" s="524" t="s">
        <v>1137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2</v>
      </c>
      <c r="G17" s="41">
        <f ca="1">IF(ISERROR(OFFSET('HARGA SATUAN'!$I$6,MATCH(C17,'HARGA SATUAN'!$C$7:$C$1492,0),0)),"",OFFSET('HARGA SATUAN'!$I$6,MATCH(C17,'HARGA SATUAN'!$C$7:$C$1492,0),0))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2</v>
      </c>
      <c r="G18" s="41">
        <f ca="1">IF(ISERROR(OFFSET('HARGA SATUAN'!$I$6,MATCH(C18,'HARGA SATUAN'!$C$7:$C$1492,0),0)),"",OFFSET('HARGA SATUAN'!$I$6,MATCH(C18,'HARGA SATUAN'!$C$7:$C$1492,0),0))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20</v>
      </c>
      <c r="G19" s="41">
        <f ca="1">IF(ISERROR(OFFSET('HARGA SATUAN'!$I$6,MATCH(C19,'HARGA SATUAN'!$C$7:$C$1492,0),0)),"",OFFSET('HARGA SATUAN'!$I$6,MATCH(C19,'HARGA SATUAN'!$C$7:$C$1492,0),0))</f>
        <v>6600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SUMIFS(RAB!$F$14:$F$62,RAB!$C$14:$C$62,C714)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SUMIFS(RAB!$F$14:$F$62,RAB!$C$14:$C$62,C715)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SUMIFS(RAB!$F$14:$F$62,RAB!$C$14:$C$62,C716)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SUMIFS(RAB!$F$14:$F$62,RAB!$C$14:$C$62,C717)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SUMIFS(RAB!$F$14:$F$62,RAB!$C$14:$C$62,C718)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SUMIFS(RAB!$F$14:$F$62,RAB!$C$14:$C$62,C719)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SUMIFS(RAB!$F$14:$F$62,RAB!$C$14:$C$62,C720)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SUMIFS(RAB!$F$14:$F$62,RAB!$C$14:$C$62,C721)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SUMIFS(RAB!$F$14:$F$62,RAB!$C$14:$C$62,C722)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SUMIFS(RAB!$F$14:$F$62,RAB!$C$14:$C$62,C723)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SUMIFS(RAB!$F$14:$F$62,RAB!$C$14:$C$62,C724)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SUMIFS(RAB!$F$14:$F$62,RAB!$C$14:$C$62,C725)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SUMIFS(RAB!$F$14:$F$62,RAB!$C$14:$C$62,C726)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SUMIFS(RAB!$F$14:$F$62,RAB!$C$14:$C$62,C727)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SUMIFS(RAB!$F$14:$F$62,RAB!$C$14:$C$62,C728)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SUMIFS(RAB!$F$14:$F$62,RAB!$C$14:$C$62,C729)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SUMIFS(RAB!$F$14:$F$62,RAB!$C$14:$C$62,C730)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SUMIFS(RAB!$F$14:$F$62,RAB!$C$14:$C$62,C731)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SUMIFS(RAB!$F$14:$F$62,RAB!$C$14:$C$62,C732)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SUMIFS(RAB!$F$14:$F$62,RAB!$C$14:$C$62,C733)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SUMIFS(RAB!$F$14:$F$62,RAB!$C$14:$C$62,C734)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SUMIFS(RAB!$F$14:$F$62,RAB!$C$14:$C$62,C735)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SUMIFS(RAB!$F$14:$F$62,RAB!$C$14:$C$62,C736)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SUMIFS(RAB!$F$14:$F$62,RAB!$C$14:$C$62,C737)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SUMIFS(RAB!$F$14:$F$62,RAB!$C$14:$C$62,C738)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SUMIFS(RAB!$F$14:$F$62,RAB!$C$14:$C$62,C739)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SUMIFS(RAB!$F$14:$F$62,RAB!$C$14:$C$62,C740)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SUMIFS(RAB!$F$14:$F$62,RAB!$C$14:$C$62,C741)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SUMIFS(RAB!$F$14:$F$62,RAB!$C$14:$C$62,C742)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SUMIFS(RAB!$F$14:$F$62,RAB!$C$14:$C$62,C743)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SUMIFS(RAB!$F$14:$F$62,RAB!$C$14:$C$62,C744)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SUMIFS(RAB!$F$14:$F$62,RAB!$C$14:$C$62,C745)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SUMIFS(RAB!$F$14:$F$62,RAB!$C$14:$C$62,C746)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SUMIFS(RAB!$F$14:$F$62,RAB!$C$14:$C$62,C747)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SUMIFS(RAB!$F$14:$F$62,RAB!$C$14:$C$62,C748)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SUMIFS(RAB!$F$14:$F$62,RAB!$C$14:$C$62,C749)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SUMIFS(RAB!$F$14:$F$62,RAB!$C$14:$C$62,C750)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SUMIFS(RAB!$F$14:$F$62,RAB!$C$14:$C$62,C751)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SUMIFS(RAB!$F$14:$F$62,RAB!$C$14:$C$62,C752)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SUMIFS(RAB!$F$14:$F$62,RAB!$C$14:$C$62,C753)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SUMIFS(RAB!$F$14:$F$62,RAB!$C$14:$C$62,C754)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SUMIFS(RAB!$F$14:$F$62,RAB!$C$14:$C$62,C755)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SUMIFS(RAB!$F$14:$F$62,RAB!$C$14:$C$62,C756)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SUMIFS(RAB!$F$14:$F$62,RAB!$C$14:$C$62,C757)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SUMIFS(RAB!$F$14:$F$62,RAB!$C$14:$C$62,C758)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SUMIFS(RAB!$F$14:$F$62,RAB!$C$14:$C$62,C759)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SUMIFS(RAB!$F$14:$F$62,RAB!$C$14:$C$62,C760)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SUMIFS(RAB!$F$14:$F$62,RAB!$C$14:$C$62,C761)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SUMIFS(RAB!$F$14:$F$62,RAB!$C$14:$C$62,C762)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SUMIFS(RAB!$F$14:$F$62,RAB!$C$14:$C$62,C763)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SUMIFS(RAB!$F$14:$F$62,RAB!$C$14:$C$62,C764)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SUMIFS(RAB!$F$14:$F$62,RAB!$C$14:$C$62,C765)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SUMIFS(RAB!$F$14:$F$62,RAB!$C$14:$C$62,C766)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SUMIFS(RAB!$F$14:$F$62,RAB!$C$14:$C$62,C767)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SUMIFS(RAB!$F$14:$F$62,RAB!$C$14:$C$62,C768)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SUMIFS(RAB!$F$14:$F$62,RAB!$C$14:$C$62,C769)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SUMIFS(RAB!$F$14:$F$62,RAB!$C$14:$C$62,C770)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SUMIFS(RAB!$F$14:$F$62,RAB!$C$14:$C$62,C771)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SUMIFS(RAB!$F$14:$F$62,RAB!$C$14:$C$62,C772)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SUMIFS(RAB!$F$14:$F$62,RAB!$C$14:$C$62,C773)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SUMIFS(RAB!$F$14:$F$62,RAB!$C$14:$C$62,C774)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SUMIFS(RAB!$F$14:$F$62,RAB!$C$14:$C$62,C775)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SUMIFS(RAB!$F$14:$F$62,RAB!$C$14:$C$62,C776)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SUMIFS(RAB!$F$14:$F$62,RAB!$C$14:$C$62,C777)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SUMIFS(RAB!$F$14:$F$62,RAB!$C$14:$C$62,C778)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SUMIFS(RAB!$F$14:$F$62,RAB!$C$14:$C$62,C779)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SUMIFS(RAB!$F$14:$F$62,RAB!$C$14:$C$62,C780)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SUMIFS(RAB!$F$14:$F$62,RAB!$C$14:$C$62,C781)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SUMIFS(RAB!$F$14:$F$62,RAB!$C$14:$C$62,C782)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SUMIFS(RAB!$F$14:$F$62,RAB!$C$14:$C$62,C783)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SUMIFS(RAB!$F$14:$F$62,RAB!$C$14:$C$62,C784)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SUMIFS(RAB!$F$14:$F$62,RAB!$C$14:$C$62,C785)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SUMIFS(RAB!$F$14:$F$62,RAB!$C$14:$C$62,C786)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SUMIFS(RAB!$F$14:$F$62,RAB!$C$14:$C$62,C787)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SUMIFS(RAB!$F$14:$F$62,RAB!$C$14:$C$62,C788)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SUMIFS(RAB!$F$14:$F$62,RAB!$C$14:$C$62,C789)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SUMIFS(RAB!$F$14:$F$62,RAB!$C$14:$C$62,C790)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SUMIFS(RAB!$F$14:$F$62,RAB!$C$14:$C$62,C791)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SUMIFS(RAB!$F$14:$F$62,RAB!$C$14:$C$62,C792)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SUMIFS(RAB!$F$14:$F$62,RAB!$C$14:$C$62,C793)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SUMIFS(RAB!$F$14:$F$62,RAB!$C$14:$C$62,C794)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SUMIFS(RAB!$F$14:$F$62,RAB!$C$14:$C$62,C795)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SUMIFS(RAB!$F$14:$F$62,RAB!$C$14:$C$62,C796)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SUMIFS(RAB!$F$14:$F$62,RAB!$C$14:$C$62,C797)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SUMIFS(RAB!$F$14:$F$62,RAB!$C$14:$C$62,C798)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SUMIFS(RAB!$F$14:$F$62,RAB!$C$14:$C$62,C799)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SUMIFS(RAB!$F$14:$F$62,RAB!$C$14:$C$62,C800)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SUMIFS(RAB!$F$14:$F$62,RAB!$C$14:$C$62,C801)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SUMIFS(RAB!$F$14:$F$62,RAB!$C$14:$C$62,C802)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SUMIFS(RAB!$F$14:$F$62,RAB!$C$14:$C$62,C803)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SUMIFS(RAB!$F$14:$F$62,RAB!$C$14:$C$62,C804)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SUMIFS(RAB!$F$14:$F$62,RAB!$C$14:$C$62,C805)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SUMIFS(RAB!$F$14:$F$62,RAB!$C$14:$C$62,C806)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SUMIFS(RAB!$F$14:$F$62,RAB!$C$14:$C$62,C807)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SUMIFS(RAB!$F$14:$F$62,RAB!$C$14:$C$62,C808)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SUMIFS(RAB!$F$14:$F$62,RAB!$C$14:$C$62,C809)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SUMIFS(RAB!$F$14:$F$62,RAB!$C$14:$C$62,C810)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SUMIFS(RAB!$F$14:$F$62,RAB!$C$14:$C$62,C811)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SUMIFS(RAB!$F$14:$F$62,RAB!$C$14:$C$62,C812)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SUMIFS(RAB!$F$14:$F$62,RAB!$C$14:$C$62,C813)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SUMIFS(RAB!$F$14:$F$62,RAB!$C$14:$C$62,C814)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SUMIFS(RAB!$F$14:$F$62,RAB!$C$14:$C$62,C815)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SUMIFS(RAB!$F$14:$F$62,RAB!$C$14:$C$62,C816)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SUMIFS(RAB!$F$14:$F$62,RAB!$C$14:$C$62,C817)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SUMIFS(RAB!$F$14:$F$62,RAB!$C$14:$C$62,C818)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SUMIFS(RAB!$F$14:$F$62,RAB!$C$14:$C$62,C819)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SUMIFS(RAB!$F$14:$F$62,RAB!$C$14:$C$62,C820)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SUMIFS(RAB!$F$14:$F$62,RAB!$C$14:$C$62,C821)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SUMIFS(RAB!$F$14:$F$62,RAB!$C$14:$C$62,C822)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SUMIFS(RAB!$F$14:$F$62,RAB!$C$14:$C$62,C823)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SUMIFS(RAB!$F$14:$F$62,RAB!$C$14:$C$62,C824)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SUMIFS(RAB!$F$14:$F$62,RAB!$C$14:$C$62,C825)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SUMIFS(RAB!$F$14:$F$62,RAB!$C$14:$C$62,C826)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SUMIFS(RAB!$F$14:$F$62,RAB!$C$14:$C$62,C827)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SUMIFS(RAB!$F$14:$F$62,RAB!$C$14:$C$62,C828)</f>
        <v>2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SUMIFS(RAB!$F$14:$F$62,RAB!$C$14:$C$62,C829)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SUMIFS(RAB!$F$14:$F$62,RAB!$C$14:$C$62,C830)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SUMIFS(RAB!$F$14:$F$62,RAB!$C$14:$C$62,C831)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SUMIFS(RAB!$F$14:$F$62,RAB!$C$14:$C$62,C832)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SUMIFS(RAB!$F$14:$F$62,RAB!$C$14:$C$62,C833)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SUMIFS(RAB!$F$14:$F$62,RAB!$C$14:$C$62,C834)</f>
        <v>2</v>
      </c>
      <c r="E834" s="26">
        <f t="shared" ca="1" si="34"/>
        <v>1</v>
      </c>
      <c r="F834" s="26">
        <f ca="1">IF(D834=0,0,SUM($E$713:E834))</f>
        <v>6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2 x 70 + N 70 mm²</v>
      </c>
      <c r="D835" s="139">
        <f ca="1">SUMIFS(RAB!$F$14:$F$62,RAB!$C$14:$C$62,C835)</f>
        <v>2</v>
      </c>
      <c r="E835" s="26">
        <f t="shared" ca="1" si="34"/>
        <v>1</v>
      </c>
      <c r="F835" s="26">
        <f ca="1">IF(D835=0,0,SUM($E$713:E835))</f>
        <v>7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SUMIFS(RAB!$F$14:$F$62,RAB!$C$14:$C$62,C836)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SUMIFS(RAB!$F$14:$F$62,RAB!$C$14:$C$62,C837)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SUMIFS(RAB!$F$14:$F$62,RAB!$C$14:$C$62,C838)</f>
        <v>20</v>
      </c>
      <c r="E838" s="26">
        <f t="shared" ca="1" si="34"/>
        <v>1</v>
      </c>
      <c r="F838" s="26">
        <f ca="1">IF(D838=0,0,SUM($E$713:E838))</f>
        <v>8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SUMIFS(RAB!$F$14:$F$62,RAB!$C$14:$C$62,C839)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SUMIFS(RAB!$F$14:$F$62,RAB!$C$14:$C$62,C840)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SUMIFS(RAB!$F$14:$F$62,RAB!$C$14:$C$62,C841)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SUMIFS(RAB!$F$14:$F$62,RAB!$C$14:$C$62,C842)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SUMIFS(RAB!$F$14:$F$62,RAB!$C$14:$C$62,C843)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SUMIFS(RAB!$F$14:$F$62,RAB!$C$14:$C$62,C844)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SUMIFS(RAB!$F$14:$F$62,RAB!$C$14:$C$62,C845)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SUMIFS(RAB!$F$14:$F$62,RAB!$C$14:$C$62,C846)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SUMIFS(RAB!$F$14:$F$62,RAB!$C$14:$C$62,C847)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SUMIFS(RAB!$F$14:$F$62,RAB!$C$14:$C$62,C848)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SUMIFS(RAB!$F$14:$F$62,RAB!$C$14:$C$62,C849)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SUMIFS(RAB!$F$14:$F$62,RAB!$C$14:$C$62,C850)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SUMIFS(RAB!$F$14:$F$62,RAB!$C$14:$C$62,C851)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SUMIFS(RAB!$F$14:$F$62,RAB!$C$14:$C$62,C852)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SUMIFS(RAB!$F$14:$F$62,RAB!$C$14:$C$62,C853)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SUMIFS(RAB!$F$14:$F$62,RAB!$C$14:$C$62,C854)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SUMIFS(RAB!$F$14:$F$62,RAB!$C$14:$C$62,C855)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SUMIFS(RAB!$F$14:$F$62,RAB!$C$14:$C$62,C856)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SUMIFS(RAB!$F$14:$F$62,RAB!$C$14:$C$62,C857)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SUMIFS(RAB!$F$14:$F$62,RAB!$C$14:$C$62,C858)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SUMIFS(RAB!$F$14:$F$62,RAB!$C$14:$C$62,C859)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SUMIFS(RAB!$F$14:$F$62,RAB!$C$14:$C$62,C860)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SUMIFS(RAB!$F$14:$F$62,RAB!$C$14:$C$62,C861)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SUMIFS(RAB!$F$14:$F$62,RAB!$C$14:$C$62,C862)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SUMIFS(RAB!$F$14:$F$62,RAB!$C$14:$C$62,C863)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SUMIFS(RAB!$F$14:$F$62,RAB!$C$14:$C$62,C864)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SUMIFS(RAB!$F$14:$F$62,RAB!$C$14:$C$62,C865)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SUMIFS(RAB!$F$14:$F$62,RAB!$C$14:$C$62,C866)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SUMIFS(RAB!$F$14:$F$62,RAB!$C$14:$C$62,C867)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SUMIFS(RAB!$F$14:$F$62,RAB!$C$14:$C$62,C868)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SUMIFS(RAB!$F$14:$F$62,RAB!$C$14:$C$62,C869)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SUMIFS(RAB!$F$14:$F$62,RAB!$C$14:$C$62,C870)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SUMIFS(RAB!$F$14:$F$62,RAB!$C$14:$C$62,C871)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SUMIFS(RAB!$F$14:$F$62,RAB!$C$14:$C$62,C872)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SUMIFS(RAB!$F$14:$F$62,RAB!$C$14:$C$62,C873)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SUMIFS(RAB!$F$14:$F$62,RAB!$C$14:$C$62,C874)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SUMIFS(RAB!$F$14:$F$62,RAB!$C$14:$C$62,C875)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SUMIFS(RAB!$F$14:$F$62,RAB!$C$14:$C$62,C876)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SUMIFS(RAB!$F$14:$F$62,RAB!$C$14:$C$62,C877)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SUMIFS(RAB!$F$14:$F$62,RAB!$C$14:$C$62,C878)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SUMIFS(RAB!$F$14:$F$62,RAB!$C$14:$C$62,C879)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SUMIFS(RAB!$F$14:$F$62,RAB!$C$14:$C$62,C880)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SUMIFS(RAB!$F$14:$F$62,RAB!$C$14:$C$62,C881)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SUMIFS(RAB!$F$14:$F$62,RAB!$C$14:$C$62,C882)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SUMIFS(RAB!$F$14:$F$62,RAB!$C$14:$C$62,C883)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SUMIFS(RAB!$F$14:$F$62,RAB!$C$14:$C$62,C884)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SUMIFS(RAB!$F$14:$F$62,RAB!$C$14:$C$62,C885)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SUMIFS(RAB!$F$14:$F$62,RAB!$C$14:$C$62,C886)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SUMIFS(RAB!$F$14:$F$62,RAB!$C$14:$C$62,C887)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SUMIFS(RAB!$F$14:$F$62,RAB!$C$14:$C$62,C888)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SUMIFS(RAB!$F$14:$F$62,RAB!$C$14:$C$62,C889)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SUMIFS(RAB!$F$14:$F$62,RAB!$C$14:$C$62,C890)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SUMIFS(RAB!$F$14:$F$62,RAB!$C$14:$C$62,C891)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SUMIFS(RAB!$F$14:$F$62,RAB!$C$14:$C$62,C892)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SUMIFS(RAB!$F$14:$F$62,RAB!$C$14:$C$62,C893)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SUMIFS(RAB!$F$14:$F$62,RAB!$C$14:$C$62,C894)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SUMIFS(RAB!$F$14:$F$62,RAB!$C$14:$C$62,C895)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SUMIFS(RAB!$F$14:$F$62,RAB!$C$14:$C$62,C896)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SUMIFS(RAB!$F$14:$F$62,RAB!$C$14:$C$62,C897)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SUMIFS(RAB!$F$14:$F$62,RAB!$C$14:$C$62,C898)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SUMIFS(RAB!$F$14:$F$62,RAB!$C$14:$C$62,C899)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SUMIFS(RAB!$F$14:$F$62,RAB!$C$14:$C$62,C900)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SUMIFS(RAB!$F$14:$F$62,RAB!$C$14:$C$62,C901)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SUMIFS(RAB!$F$14:$F$62,RAB!$C$14:$C$62,C902)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SUMIFS(RAB!$F$14:$F$62,RAB!$C$14:$C$62,C903)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SUMIFS(RAB!$F$14:$F$62,RAB!$C$14:$C$62,C904)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SUMIFS(RAB!$F$14:$F$62,RAB!$C$14:$C$62,C905)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SUMIFS(RAB!$F$14:$F$62,RAB!$C$14:$C$62,C906)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SUMIFS(RAB!$F$14:$F$62,RAB!$C$14:$C$62,C907)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SUMIFS(RAB!$F$14:$F$62,RAB!$C$14:$C$62,C908)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SUMIFS(RAB!$F$14:$F$62,RAB!$C$14:$C$62,C909)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SUMIFS(RAB!$F$14:$F$62,RAB!$C$14:$C$62,C910)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SUMIFS(RAB!$F$14:$F$62,RAB!$C$14:$C$62,C911)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SUMIFS(RAB!$F$14:$F$62,RAB!$C$14:$C$62,C912)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SUMIFS(RAB!$F$14:$F$62,RAB!$C$14:$C$62,C913)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SUMIFS(RAB!$F$14:$F$62,RAB!$C$14:$C$62,C914)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SUMIFS(RAB!$F$14:$F$62,RAB!$C$14:$C$62,C915)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SUMIFS(RAB!$F$14:$F$62,RAB!$C$14:$C$62,C916)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SUMIFS(RAB!$F$14:$F$62,RAB!$C$14:$C$62,C917)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SUMIFS(RAB!$F$14:$F$62,RAB!$C$14:$C$62,C918)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SUMIFS(RAB!$F$14:$F$62,RAB!$C$14:$C$62,C919)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SUMIFS(RAB!$F$14:$F$62,RAB!$C$14:$C$62,C920)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SUMIFS(RAB!$F$14:$F$62,RAB!$C$14:$C$62,C921)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SUMIFS(RAB!$F$14:$F$62,RAB!$C$14:$C$62,C922)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SUMIFS(RAB!$F$14:$F$62,RAB!$C$14:$C$62,C923)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SUMIFS(RAB!$F$14:$F$62,RAB!$C$14:$C$62,C924)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SUMIFS(RAB!$F$14:$F$62,RAB!$C$14:$C$62,C925)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SUMIFS(RAB!$F$14:$F$62,RAB!$C$14:$C$62,C926)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SUMIFS(RAB!$F$14:$F$62,RAB!$C$14:$C$62,C927)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SUMIFS(RAB!$F$14:$F$62,RAB!$C$14:$C$62,C928)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SUMIFS(RAB!$F$14:$F$62,RAB!$C$14:$C$62,C929)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SUMIFS(RAB!$F$14:$F$62,RAB!$C$14:$C$62,C930)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SUMIFS(RAB!$F$14:$F$62,RAB!$C$14:$C$62,C931)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SUMIFS(RAB!$F$14:$F$62,RAB!$C$14:$C$62,C932)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SUMIFS(RAB!$F$14:$F$62,RAB!$C$14:$C$62,C933)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SUMIFS(RAB!$F$14:$F$62,RAB!$C$14:$C$62,C934)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SUMIFS(RAB!$F$14:$F$62,RAB!$C$14:$C$62,C935)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SUMIFS(RAB!$F$14:$F$62,RAB!$C$14:$C$62,C936)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SUMIFS(RAB!$F$14:$F$62,RAB!$C$14:$C$62,C937)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SUMIFS(RAB!$F$14:$F$62,RAB!$C$14:$C$62,C938)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SUMIFS(RAB!$F$14:$F$62,RAB!$C$14:$C$62,C939)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SUMIFS(RAB!$F$14:$F$62,RAB!$C$14:$C$62,C940)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SUMIFS(RAB!$F$14:$F$62,RAB!$C$14:$C$62,C941)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SUMIFS(RAB!$F$14:$F$62,RAB!$C$14:$C$62,C942)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SUMIFS(RAB!$F$14:$F$62,RAB!$C$14:$C$62,C943)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SUMIFS(RAB!$F$14:$F$62,RAB!$C$14:$C$62,C944)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SUMIFS(RAB!$F$14:$F$62,RAB!$C$14:$C$62,C945)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SUMIFS(RAB!$F$14:$F$62,RAB!$C$14:$C$62,C946)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SUMIFS(RAB!$F$14:$F$62,RAB!$C$14:$C$62,C947)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SUMIFS(RAB!$F$14:$F$62,RAB!$C$14:$C$62,C948)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SUMIFS(RAB!$F$14:$F$62,RAB!$C$14:$C$62,C949)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SUMIFS(RAB!$F$14:$F$62,RAB!$C$14:$C$62,C950)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SUMIFS(RAB!$F$14:$F$62,RAB!$C$14:$C$62,C951)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SUMIFS(RAB!$F$14:$F$62,RAB!$C$14:$C$62,C952)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SUMIFS(RAB!$F$14:$F$62,RAB!$C$14:$C$62,C953)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SUMIFS(RAB!$F$14:$F$62,RAB!$C$14:$C$62,C954)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SUMIFS(RAB!$F$14:$F$62,RAB!$C$14:$C$62,C955)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SUMIFS(RAB!$F$14:$F$62,RAB!$C$14:$C$62,C956)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SUMIFS(RAB!$F$14:$F$62,RAB!$C$14:$C$62,C957)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SUMIFS(RAB!$F$14:$F$62,RAB!$C$14:$C$62,C958)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SUMIFS(RAB!$F$14:$F$62,RAB!$C$14:$C$62,C959)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SUMIFS(RAB!$F$14:$F$62,RAB!$C$14:$C$62,C960)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SUMIFS(RAB!$F$14:$F$62,RAB!$C$14:$C$62,C961)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SUMIFS(RAB!$F$14:$F$62,RAB!$C$14:$C$62,C962)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SUMIFS(RAB!$F$14:$F$62,RAB!$C$14:$C$62,C963)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SUMIFS(RAB!$F$14:$F$62,RAB!$C$14:$C$62,C964)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SUMIFS(RAB!$F$14:$F$62,RAB!$C$14:$C$62,C965)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SUMIFS(RAB!$F$14:$F$62,RAB!$C$14:$C$62,C966)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SUMIFS(RAB!$F$14:$F$62,RAB!$C$14:$C$62,C967)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SUMIFS(RAB!$F$14:$F$62,RAB!$C$14:$C$62,C968)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SUMIFS(RAB!$F$14:$F$62,RAB!$C$14:$C$62,C969)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SUMIFS(RAB!$F$14:$F$62,RAB!$C$14:$C$62,C970)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SUMIFS(RAB!$F$14:$F$62,RAB!$C$14:$C$62,C971)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SUMIFS(RAB!$F$14:$F$62,RAB!$C$14:$C$62,C972)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SUMIFS(RAB!$F$14:$F$62,RAB!$C$14:$C$62,C973)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SUMIFS(RAB!$F$14:$F$62,RAB!$C$14:$C$62,C974)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SUMIFS(RAB!$F$14:$F$62,RAB!$C$14:$C$62,C975)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SUMIFS(RAB!$F$14:$F$62,RAB!$C$14:$C$62,C976)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SUMIFS(RAB!$F$14:$F$62,RAB!$C$14:$C$62,C977)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SUMIFS(RAB!$F$14:$F$62,RAB!$C$14:$C$62,C978)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SUMIFS(RAB!$F$14:$F$62,RAB!$C$14:$C$62,C979)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SUMIFS(RAB!$F$14:$F$62,RAB!$C$14:$C$62,C980)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SUMIFS(RAB!$F$14:$F$62,RAB!$C$14:$C$62,C981)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SUMIFS(RAB!$F$14:$F$62,RAB!$C$14:$C$62,C982)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SUMIFS(RAB!$F$14:$F$62,RAB!$C$14:$C$62,C983)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SUMIFS(RAB!$F$14:$F$62,RAB!$C$14:$C$62,C984)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SUMIFS(RAB!$F$14:$F$62,RAB!$C$14:$C$62,C985)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SUMIFS(RAB!$F$14:$F$62,RAB!$C$14:$C$62,C986)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SUMIFS(RAB!$F$14:$F$62,RAB!$C$14:$C$62,C987)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SUMIFS(RAB!$F$14:$F$62,RAB!$C$14:$C$62,C988)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SUMIFS(RAB!$F$14:$F$62,RAB!$C$14:$C$62,C989)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SUMIFS(RAB!$F$14:$F$62,RAB!$C$14:$C$62,C990)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SUMIFS(RAB!$F$14:$F$62,RAB!$C$14:$C$62,C991)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SUMIFS(RAB!$F$14:$F$62,RAB!$C$14:$C$62,C992)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SUMIFS(RAB!$F$14:$F$62,RAB!$C$14:$C$62,C993)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SUMIFS(RAB!$F$14:$F$62,RAB!$C$14:$C$62,C994)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SUMIFS(RAB!$F$14:$F$62,RAB!$C$14:$C$62,C995)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SUMIFS(RAB!$F$14:$F$62,RAB!$C$14:$C$62,C996)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SUMIFS(RAB!$F$14:$F$62,RAB!$C$14:$C$62,C997)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SUMIFS(RAB!$F$14:$F$62,RAB!$C$14:$C$62,C998)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SUMIFS(RAB!$F$14:$F$62,RAB!$C$14:$C$62,C999)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SUMIFS(RAB!$F$14:$F$62,RAB!$C$14:$C$62,C1000)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SUMIFS(RAB!$F$14:$F$62,RAB!$C$14:$C$62,C1001)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SUMIFS(RAB!$F$14:$F$62,RAB!$C$14:$C$62,C1002)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SUMIFS(RAB!$F$14:$F$62,RAB!$C$14:$C$62,C1003)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SUMIFS(RAB!$F$14:$F$62,RAB!$C$14:$C$62,C1004)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SUMIFS(RAB!$F$14:$F$62,RAB!$C$14:$C$62,C1005)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SUMIFS(RAB!$F$14:$F$62,RAB!$C$14:$C$62,C1006)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SUMIFS(RAB!$F$14:$F$62,RAB!$C$14:$C$62,C1007)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SUMIFS(RAB!$F$14:$F$62,RAB!$C$14:$C$62,C1008)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SUMIFS(RAB!$F$14:$F$62,RAB!$C$14:$C$62,C1009)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SUMIFS(RAB!$F$14:$F$62,RAB!$C$14:$C$62,C1010)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SUMIFS(RAB!$F$14:$F$62,RAB!$C$14:$C$62,C1011)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SUMIFS(RAB!$F$14:$F$62,RAB!$C$14:$C$62,C1012)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SUMIFS(RAB!$F$14:$F$62,RAB!$C$14:$C$62,C1013)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SUMIFS(RAB!$F$14:$F$62,RAB!$C$14:$C$62,C1014)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SUMIFS(RAB!$F$14:$F$62,RAB!$C$14:$C$62,C1015)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SUMIFS(RAB!$F$14:$F$62,RAB!$C$14:$C$62,C1016)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SUMIFS(RAB!$F$14:$F$62,RAB!$C$14:$C$62,C1017)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SUMIFS(RAB!$F$14:$F$62,RAB!$C$14:$C$62,C1018)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SUMIFS(RAB!$F$14:$F$62,RAB!$C$14:$C$62,C1019)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SUMIFS(RAB!$F$14:$F$62,RAB!$C$14:$C$62,C1020)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SUMIFS(RAB!$F$14:$F$62,RAB!$C$14:$C$62,C1021)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SUMIFS(RAB!$F$14:$F$62,RAB!$C$14:$C$62,C1022)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SUMIFS(RAB!$F$14:$F$62,RAB!$C$14:$C$62,C1023)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SUMIFS(RAB!$F$14:$F$62,RAB!$C$14:$C$62,C1024)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SUMIFS(RAB!$F$14:$F$62,RAB!$C$14:$C$62,C1025)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SUMIFS(RAB!$F$14:$F$62,RAB!$C$14:$C$62,C1026)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SUMIFS(RAB!$F$14:$F$62,RAB!$C$14:$C$62,C1027)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SUMIFS(RAB!$F$14:$F$62,RAB!$C$14:$C$62,C1028)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SUMIFS(RAB!$F$14:$F$62,RAB!$C$14:$C$62,C1029)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SUMIFS(RAB!$F$14:$F$62,RAB!$C$14:$C$62,C1030)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SUMIFS(RAB!$F$14:$F$62,RAB!$C$14:$C$62,C1031)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SUMIFS(RAB!$F$14:$F$62,RAB!$C$14:$C$62,C1032)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SUMIFS(RAB!$F$14:$F$62,RAB!$C$14:$C$62,C1033)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SUMIFS(RAB!$F$14:$F$62,RAB!$C$14:$C$62,C1034)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SUMIFS(RAB!$F$14:$F$62,RAB!$C$14:$C$62,C1035)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SUMIFS(RAB!$F$14:$F$62,RAB!$C$14:$C$62,C1036)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SUMIFS(RAB!$F$14:$F$62,RAB!$C$14:$C$62,C1037)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SUMIFS(RAB!$F$14:$F$62,RAB!$C$14:$C$62,C1038)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SUMIFS(RAB!$F$14:$F$62,RAB!$C$14:$C$62,C1039)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SUMIFS(RAB!$F$14:$F$62,RAB!$C$14:$C$62,C1040)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SUMIFS(RAB!$F$14:$F$62,RAB!$C$14:$C$62,C1041)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SUMIFS(RAB!$F$14:$F$62,RAB!$C$14:$C$62,C1042)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SUMIFS(RAB!$F$14:$F$62,RAB!$C$14:$C$62,C1043)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SUMIFS(RAB!$F$14:$F$62,RAB!$C$14:$C$62,C1044)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SUMIFS(RAB!$F$14:$F$62,RAB!$C$14:$C$62,C1045)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SUMIFS(RAB!$F$14:$F$62,RAB!$C$14:$C$62,C1046)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SUMIFS(RAB!$F$14:$F$62,RAB!$C$14:$C$62,C1047)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SUMIFS(RAB!$F$14:$F$62,RAB!$C$14:$C$62,C1048)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SUMIFS(RAB!$F$14:$F$62,RAB!$C$14:$C$62,C1049)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SUMIFS(RAB!$F$14:$F$62,RAB!$C$14:$C$62,C1050)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SUMIFS(RAB!$F$14:$F$62,RAB!$C$14:$C$62,C1051)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SUMIFS(RAB!$F$14:$F$62,RAB!$C$14:$C$62,C1052)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SUMIFS(RAB!$F$14:$F$62,RAB!$C$14:$C$62,C1053)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SUMIFS(RAB!$F$14:$F$62,RAB!$C$14:$C$62,C1054)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SUMIFS(RAB!$F$14:$F$62,RAB!$C$14:$C$62,C1055)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SUMIFS(RAB!$F$14:$F$62,RAB!$C$14:$C$62,C1056)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SUMIFS(RAB!$F$14:$F$62,RAB!$C$14:$C$62,C1057)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SUMIFS(RAB!$F$14:$F$62,RAB!$C$14:$C$62,C1058)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SUMIFS(RAB!$F$14:$F$62,RAB!$C$14:$C$62,C1059)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SUMIFS(RAB!$F$14:$F$62,RAB!$C$14:$C$62,C1060)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SUMIFS(RAB!$F$14:$F$62,RAB!$C$14:$C$62,C1061)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SUMIFS(RAB!$F$14:$F$62,RAB!$C$14:$C$62,C1062)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SUMIFS(RAB!$F$14:$F$62,RAB!$C$14:$C$62,C1063)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SUMIFS(RAB!$F$14:$F$62,RAB!$C$14:$C$62,C1064)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SUMIFS(RAB!$F$14:$F$62,RAB!$C$14:$C$62,C1065)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SUMIFS(RAB!$F$14:$F$62,RAB!$C$14:$C$62,C1066)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SUMIFS(RAB!$F$14:$F$62,RAB!$C$14:$C$62,C1067)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SUMIFS(RAB!$F$14:$F$62,RAB!$C$14:$C$62,C1068)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SUMIFS(RAB!$F$14:$F$62,RAB!$C$14:$C$62,C1069)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SUMIFS(RAB!$F$14:$F$62,RAB!$C$14:$C$62,C1070)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SUMIFS(RAB!$F$14:$F$62,RAB!$C$14:$C$62,C1071)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SUMIFS(RAB!$F$14:$F$62,RAB!$C$14:$C$62,C1072)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SUMIFS(RAB!$F$14:$F$62,RAB!$C$14:$C$62,C1073)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SUMIFS(RAB!$F$14:$F$62,RAB!$C$14:$C$62,C1074)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SUMIFS(RAB!$F$14:$F$62,RAB!$C$14:$C$62,C1075)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SUMIFS(RAB!$F$14:$F$62,RAB!$C$14:$C$62,C1076)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SUMIFS(RAB!$F$14:$F$62,RAB!$C$14:$C$62,C1077)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SUMIFS(RAB!$F$14:$F$62,RAB!$C$14:$C$62,C1078)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SUMIFS(RAB!$F$14:$F$62,RAB!$C$14:$C$62,C1079)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SUMIFS(RAB!$F$14:$F$62,RAB!$C$14:$C$62,C1080)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SUMIFS(RAB!$F$14:$F$62,RAB!$C$14:$C$62,C1081)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SUMIFS(RAB!$F$14:$F$62,RAB!$C$14:$C$62,C1082)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SUMIFS(RAB!$F$14:$F$62,RAB!$C$14:$C$62,C1083)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SUMIFS(RAB!$F$14:$F$62,RAB!$C$14:$C$62,C1084)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SUMIFS(RAB!$F$14:$F$62,RAB!$C$14:$C$62,C1085)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SUMIFS(RAB!$F$14:$F$62,RAB!$C$14:$C$62,C1086)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SUMIFS(RAB!$F$14:$F$62,RAB!$C$14:$C$62,C1087)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SUMIFS(RAB!$F$14:$F$62,RAB!$C$14:$C$62,C1088)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SUMIFS(RAB!$F$14:$F$62,RAB!$C$14:$C$62,C1089)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SUMIFS(RAB!$F$14:$F$62,RAB!$C$14:$C$62,C1090)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SUMIFS(RAB!$F$14:$F$62,RAB!$C$14:$C$62,C1091)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SUMIFS(RAB!$F$14:$F$62,RAB!$C$14:$C$62,C1092)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SUMIFS(RAB!$F$14:$F$62,RAB!$C$14:$C$62,C1093)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SUMIFS(RAB!$F$14:$F$62,RAB!$C$14:$C$62,C1094)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SUMIFS(RAB!$F$14:$F$62,RAB!$C$14:$C$62,C1095)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SUMIFS(RAB!$F$14:$F$62,RAB!$C$14:$C$62,C1096)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SUMIFS(RAB!$F$14:$F$62,RAB!$C$14:$C$62,C1097)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SUMIFS(RAB!$F$14:$F$62,RAB!$C$14:$C$62,C1098)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SUMIFS(RAB!$F$14:$F$62,RAB!$C$14:$C$62,C1099)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SUMIFS(RAB!$F$14:$F$62,RAB!$C$14:$C$62,C1100)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SUMIFS(RAB!$F$14:$F$62,RAB!$C$14:$C$62,C1101)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SUMIFS(RAB!$F$14:$F$62,RAB!$C$14:$C$62,C1102)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SUMIFS(RAB!$F$14:$F$62,RAB!$C$14:$C$62,C1103)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SUMIFS(RAB!$F$14:$F$62,RAB!$C$14:$C$62,C1104)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SUMIFS(RAB!$F$14:$F$62,RAB!$C$14:$C$62,C1105)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SUMIFS(RAB!$F$14:$F$62,RAB!$C$14:$C$62,C1106)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SUMIFS(RAB!$F$14:$F$62,RAB!$C$14:$C$62,C1107)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SUMIFS(RAB!$F$14:$F$62,RAB!$C$14:$C$62,C1108)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SUMIFS(RAB!$F$14:$F$62,RAB!$C$14:$C$62,C1109)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SUMIFS(RAB!$F$14:$F$62,RAB!$C$14:$C$62,C1110)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SUMIFS(RAB!$F$14:$F$62,RAB!$C$14:$C$62,C1111)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SUMIFS(RAB!$F$14:$F$62,RAB!$C$14:$C$62,C1112)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SUMIFS(RAB!$F$14:$F$62,RAB!$C$14:$C$62,C1113)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SUMIFS(RAB!$F$14:$F$62,RAB!$C$14:$C$62,C1114)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SUMIFS(RAB!$F$14:$F$62,RAB!$C$14:$C$62,C1115)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SUMIFS(RAB!$F$14:$F$62,RAB!$C$14:$C$62,C1116)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SUMIFS(RAB!$F$14:$F$62,RAB!$C$14:$C$62,C1117)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SUMIFS(RAB!$F$14:$F$62,RAB!$C$14:$C$62,C1118)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SUMIFS(RAB!$F$14:$F$62,RAB!$C$14:$C$62,C1119)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SUMIFS(RAB!$F$14:$F$62,RAB!$C$14:$C$62,C1120)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SUMIFS(RAB!$F$14:$F$62,RAB!$C$14:$C$62,C1121)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SUMIFS(RAB!$F$14:$F$62,RAB!$C$14:$C$62,C1122)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SUMIFS(RAB!$F$14:$F$62,RAB!$C$14:$C$62,C1123)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SUMIFS(RAB!$F$14:$F$62,RAB!$C$14:$C$62,C1124)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SUMIFS(RAB!$F$14:$F$62,RAB!$C$14:$C$62,C1125)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SUMIFS(RAB!$F$14:$F$62,RAB!$C$14:$C$62,C1126)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SUMIFS(RAB!$F$14:$F$62,RAB!$C$14:$C$62,C1127)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SUMIFS(RAB!$F$14:$F$62,RAB!$C$14:$C$62,C1128)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SUMIFS(RAB!$F$14:$F$62,RAB!$C$14:$C$62,C1129)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SUMIFS(RAB!$F$14:$F$62,RAB!$C$14:$C$62,C1130)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SUMIFS(RAB!$F$14:$F$62,RAB!$C$14:$C$62,C1131)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SUMIFS(RAB!$F$14:$F$62,RAB!$C$14:$C$62,C1132)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SUMIFS(RAB!$F$14:$F$62,RAB!$C$14:$C$62,C1133)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SUMIFS(RAB!$F$14:$F$62,RAB!$C$14:$C$62,C1134)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SUMIFS(RAB!$F$14:$F$62,RAB!$C$14:$C$62,C1135)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SUMIFS(RAB!$F$14:$F$62,RAB!$C$14:$C$62,C1136)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SUMIFS(RAB!$F$14:$F$62,RAB!$C$14:$C$62,C1137)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SUMIFS(RAB!$F$14:$F$62,RAB!$C$14:$C$62,C1138)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SUMIFS(RAB!$F$14:$F$62,RAB!$C$14:$C$62,C1139)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SUMIFS(RAB!$F$14:$F$62,RAB!$C$14:$C$62,C1140)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SUMIFS(RAB!$F$14:$F$62,RAB!$C$14:$C$62,C1141)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SUMIFS(RAB!$F$14:$F$62,RAB!$C$14:$C$62,C1142)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SUMIFS(RAB!$F$14:$F$62,RAB!$C$14:$C$62,C1143)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SUMIFS(RAB!$F$14:$F$62,RAB!$C$14:$C$62,C1144)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SUMIFS(RAB!$F$14:$F$62,RAB!$C$14:$C$62,C1145)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SUMIFS(RAB!$F$14:$F$62,RAB!$C$14:$C$62,C1146)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SUMIFS(RAB!$F$14:$F$62,RAB!$C$14:$C$62,C1147)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SUMIFS(RAB!$F$14:$F$62,RAB!$C$14:$C$62,C1148)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SUMIFS(RAB!$F$14:$F$62,RAB!$C$14:$C$62,C1149)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SUMIFS(RAB!$F$14:$F$62,RAB!$C$14:$C$62,C1150)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SUMIFS(RAB!$F$14:$F$62,RAB!$C$14:$C$62,C1151)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SUMIFS(RAB!$F$14:$F$62,RAB!$C$14:$C$62,C1152)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SUMIFS(RAB!$F$14:$F$62,RAB!$C$14:$C$62,C1153)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SUMIFS(RAB!$F$14:$F$62,RAB!$C$14:$C$62,C1154)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SUMIFS(RAB!$F$14:$F$62,RAB!$C$14:$C$62,C1155)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SUMIFS(RAB!$F$14:$F$62,RAB!$C$14:$C$62,C1156)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SUMIFS(RAB!$F$14:$F$62,RAB!$C$14:$C$62,C1157)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SUMIFS(RAB!$F$14:$F$62,RAB!$C$14:$C$62,C1158)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SUMIFS(RAB!$F$14:$F$62,RAB!$C$14:$C$62,C1159)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SUMIFS(RAB!$F$14:$F$62,RAB!$C$14:$C$62,C1160)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SUMIFS(RAB!$F$14:$F$62,RAB!$C$14:$C$62,C1161)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SUMIFS(RAB!$F$14:$F$62,RAB!$C$14:$C$62,C1162)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SUMIFS(RAB!$F$14:$F$62,RAB!$C$14:$C$62,C1163)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SUMIFS(RAB!$F$14:$F$62,RAB!$C$14:$C$62,C1164)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SUMIFS(RAB!$F$14:$F$62,RAB!$C$14:$C$62,C1165)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SUMIFS(RAB!$F$14:$F$62,RAB!$C$14:$C$62,C1166)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SUMIFS(RAB!$F$14:$F$62,RAB!$C$14:$C$62,C1167)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SUMIFS(RAB!$F$14:$F$62,RAB!$C$14:$C$62,C1168)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SUMIFS(RAB!$F$14:$F$62,RAB!$C$14:$C$62,C1169)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SUMIFS(RAB!$F$14:$F$62,RAB!$C$14:$C$62,C1170)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SUMIFS(RAB!$F$14:$F$62,RAB!$C$14:$C$62,C1171)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SUMIFS(RAB!$F$14:$F$62,RAB!$C$14:$C$62,C1172)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SUMIFS(RAB!$F$14:$F$62,RAB!$C$14:$C$62,C1173)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SUMIFS(RAB!$F$14:$F$62,RAB!$C$14:$C$62,C1174)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SUMIFS(RAB!$F$14:$F$62,RAB!$C$14:$C$62,C1175)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SUMIFS(RAB!$F$14:$F$62,RAB!$C$14:$C$62,C1176)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SUMIFS(RAB!$F$14:$F$62,RAB!$C$14:$C$62,C1177)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SUMIFS(RAB!$F$14:$F$62,RAB!$C$14:$C$62,C1178)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SUMIFS(RAB!$F$14:$F$62,RAB!$C$14:$C$62,C1179)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SUMIFS(RAB!$F$14:$F$62,RAB!$C$14:$C$62,C1180)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SUMIFS(RAB!$F$14:$F$62,RAB!$C$14:$C$62,C1181)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SUMIFS(RAB!$F$14:$F$62,RAB!$C$14:$C$62,C1182)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SUMIFS(RAB!$F$14:$F$62,RAB!$C$14:$C$62,C1183)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SUMIFS(RAB!$F$14:$F$62,RAB!$C$14:$C$62,C1184)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SUMIFS(RAB!$F$14:$F$62,RAB!$C$14:$C$62,C1185)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SUMIFS(RAB!$F$14:$F$62,RAB!$C$14:$C$62,C1186)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SUMIFS(RAB!$F$14:$F$62,RAB!$C$14:$C$62,C1187)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SUMIFS(RAB!$F$14:$F$62,RAB!$C$14:$C$62,C1188)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SUMIFS(RAB!$F$14:$F$62,RAB!$C$14:$C$62,C1189)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SUMIFS(RAB!$F$14:$F$62,RAB!$C$14:$C$62,C1190)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SUMIFS(RAB!$F$14:$F$62,RAB!$C$14:$C$62,C1191)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SUMIFS(RAB!$F$14:$F$62,RAB!$C$14:$C$62,C1192)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SUMIFS(RAB!$F$14:$F$62,RAB!$C$14:$C$62,C1193)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SUMIFS(RAB!$F$14:$F$62,RAB!$C$14:$C$62,C1194)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SUMIFS(RAB!$F$14:$F$62,RAB!$C$14:$C$62,C1195)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SUMIFS(RAB!$F$14:$F$62,RAB!$C$14:$C$62,C1196)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SUMIFS(RAB!$F$14:$F$62,RAB!$C$14:$C$62,C1197)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SUMIFS(RAB!$F$14:$F$62,RAB!$C$14:$C$62,C1198)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SUMIFS(RAB!$F$14:$F$62,RAB!$C$14:$C$62,C1199)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SUMIFS(RAB!$F$14:$F$62,RAB!$C$14:$C$62,C1200)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SUMIFS(RAB!$F$14:$F$62,RAB!$C$14:$C$62,C1201)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SUMIFS(RAB!$F$14:$F$62,RAB!$C$14:$C$62,C1202)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SUMIFS(RAB!$F$14:$F$62,RAB!$C$14:$C$62,C1203)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SUMIFS(RAB!$F$14:$F$62,RAB!$C$14:$C$62,C1204)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SUMIFS(RAB!$F$14:$F$62,RAB!$C$14:$C$62,C1205)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SUMIFS(RAB!$F$14:$F$62,RAB!$C$14:$C$62,C1206)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SUMIFS(RAB!$F$14:$F$62,RAB!$C$14:$C$62,C1207)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SUMIFS(RAB!$F$14:$F$62,RAB!$C$14:$C$62,C1208)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SUMIFS(RAB!$F$14:$F$62,RAB!$C$14:$C$62,C1209)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SUMIFS(RAB!$F$14:$F$62,RAB!$C$14:$C$62,C1210)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SUMIFS(RAB!$F$14:$F$62,RAB!$C$14:$C$62,C1211)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SUMIFS(RAB!$F$14:$F$62,RAB!$C$14:$C$62,C1212)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SUMIFS(RAB!$F$14:$F$62,RAB!$C$14:$C$62,C1213)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SUMIFS(RAB!$F$14:$F$62,RAB!$C$14:$C$62,C1214)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SUMIFS(RAB!$F$14:$F$62,RAB!$C$14:$C$62,C1215)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SUMIFS(RAB!$F$14:$F$62,RAB!$C$14:$C$62,C1216)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SUMIFS(RAB!$F$14:$F$62,RAB!$C$14:$C$62,C1217)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SUMIFS(RAB!$F$14:$F$62,RAB!$C$14:$C$62,C1218)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SUMIFS(RAB!$F$14:$F$62,RAB!$C$14:$C$62,C1219)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SUMIFS(RAB!$F$14:$F$62,RAB!$C$14:$C$62,C1220)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SUMIFS(RAB!$F$14:$F$62,RAB!$C$14:$C$62,C1221)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SUMIFS(RAB!$F$14:$F$62,RAB!$C$14:$C$62,C1222)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SUMIFS(RAB!$F$14:$F$62,RAB!$C$14:$C$62,C1223)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SUMIFS(RAB!$F$14:$F$62,RAB!$C$14:$C$62,C1224)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SUMIFS(RAB!$F$14:$F$62,RAB!$C$14:$C$62,C1225)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SUMIFS(RAB!$F$14:$F$62,RAB!$C$14:$C$62,C1226)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SUMIFS(RAB!$F$14:$F$62,RAB!$C$14:$C$62,C1227)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SUMIFS(RAB!$F$14:$F$62,RAB!$C$14:$C$62,C1228)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SUMIFS(RAB!$F$14:$F$62,RAB!$C$14:$C$62,C1229)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SUMIFS(RAB!$F$14:$F$62,RAB!$C$14:$C$62,C1230)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SUMIFS(RAB!$F$14:$F$62,RAB!$C$14:$C$62,C1231)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SUMIFS(RAB!$F$14:$F$62,RAB!$C$14:$C$62,C1232)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SUMIFS(RAB!$F$14:$F$62,RAB!$C$14:$C$62,C1233)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SUMIFS(RAB!$F$14:$F$62,RAB!$C$14:$C$62,C1234)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SUMIFS(RAB!$F$14:$F$62,RAB!$C$14:$C$62,C1235)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SUMIFS(RAB!$F$14:$F$62,RAB!$C$14:$C$62,C1236)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SUMIFS(RAB!$F$14:$F$62,RAB!$C$14:$C$62,C1237)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SUMIFS(RAB!$F$14:$F$62,RAB!$C$14:$C$62,C1238)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SUMIFS(RAB!$F$14:$F$62,RAB!$C$14:$C$62,C1239)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SUMIFS(RAB!$F$14:$F$62,RAB!$C$14:$C$62,C1240)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SUMIFS(RAB!$F$14:$F$62,RAB!$C$14:$C$62,C1241)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SUMIFS(RAB!$F$14:$F$62,RAB!$C$14:$C$62,C1242)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SUMIFS(RAB!$F$14:$F$62,RAB!$C$14:$C$62,C1243)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SUMIFS(RAB!$F$14:$F$62,RAB!$C$14:$C$62,C1244)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SUMIFS(RAB!$F$14:$F$62,RAB!$C$14:$C$62,C1245)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SUMIFS(RAB!$F$14:$F$62,RAB!$C$14:$C$62,C1246)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SUMIFS(RAB!$F$14:$F$62,RAB!$C$14:$C$62,C1247)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SUMIFS(RAB!$F$14:$F$62,RAB!$C$14:$C$62,C1248)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SUMIFS(RAB!$F$14:$F$62,RAB!$C$14:$C$62,C1249)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SUMIFS(RAB!$F$14:$F$62,RAB!$C$14:$C$62,C1250)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SUMIFS(RAB!$F$14:$F$62,RAB!$C$14:$C$62,C1251)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SUMIFS(RAB!$F$14:$F$62,RAB!$C$14:$C$62,C1252)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SUMIFS(RAB!$F$14:$F$62,RAB!$C$14:$C$62,C1253)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SUMIFS(RAB!$F$14:$F$62,RAB!$C$14:$C$62,C1254)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SUMIFS(RAB!$F$14:$F$62,RAB!$C$14:$C$62,C1255)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SUMIFS(RAB!$F$14:$F$62,RAB!$C$14:$C$62,C1256)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SUMIFS(RAB!$F$14:$F$62,RAB!$C$14:$C$62,C1257)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SUMIFS(RAB!$F$14:$F$62,RAB!$C$14:$C$62,C1258)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SUMIFS(RAB!$F$14:$F$62,RAB!$C$14:$C$62,C1259)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SUMIFS(RAB!$F$14:$F$62,RAB!$C$14:$C$62,C1260)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SUMIFS(RAB!$F$14:$F$62,RAB!$C$14:$C$62,C1261)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SUMIFS(RAB!$F$14:$F$62,RAB!$C$14:$C$62,C1262)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SUMIFS(RAB!$F$14:$F$62,RAB!$C$14:$C$62,C1263)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SUMIFS(RAB!$F$14:$F$62,RAB!$C$14:$C$62,C1264)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SUMIFS(RAB!$F$14:$F$62,RAB!$C$14:$C$62,C1265)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SUMIFS(RAB!$F$14:$F$62,RAB!$C$14:$C$62,C1266)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SUMIFS(RAB!$F$14:$F$62,RAB!$C$14:$C$62,C1267)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SUMIFS(RAB!$F$14:$F$62,RAB!$C$14:$C$62,C1268)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SUMIFS(RAB!$F$14:$F$62,RAB!$C$14:$C$62,C1269)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SUMIFS(RAB!$F$14:$F$62,RAB!$C$14:$C$62,C1270)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SUMIFS(RAB!$F$14:$F$62,RAB!$C$14:$C$62,C1271)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SUMIFS(RAB!$F$14:$F$62,RAB!$C$14:$C$62,C1272)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SUMIFS(RAB!$F$14:$F$62,RAB!$C$14:$C$62,C1273)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SUMIFS(RAB!$F$14:$F$62,RAB!$C$14:$C$62,C1274)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SUMIFS(RAB!$F$14:$F$62,RAB!$C$14:$C$62,C1275)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SUMIFS(RAB!$F$14:$F$62,RAB!$C$14:$C$62,C1276)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SUMIFS(RAB!$F$14:$F$62,RAB!$C$14:$C$62,C1277)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SUMIFS(RAB!$F$14:$F$62,RAB!$C$14:$C$62,C1278)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SUMIFS(RAB!$F$14:$F$62,RAB!$C$14:$C$62,C1279)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SUMIFS(RAB!$F$14:$F$62,RAB!$C$14:$C$62,C1280)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SUMIFS(RAB!$F$14:$F$62,RAB!$C$14:$C$62,C1281)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SUMIFS(RAB!$F$14:$F$62,RAB!$C$14:$C$62,C1282)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SUMIFS(RAB!$F$14:$F$62,RAB!$C$14:$C$62,C1283)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SUMIFS(RAB!$F$14:$F$62,RAB!$C$14:$C$62,C1284)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SUMIFS(RAB!$F$14:$F$62,RAB!$C$14:$C$62,C1285)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SUMIFS(RAB!$F$14:$F$62,RAB!$C$14:$C$62,C1286)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SUMIFS(RAB!$F$14:$F$62,RAB!$C$14:$C$62,C1287)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SUMIFS(RAB!$F$14:$F$62,RAB!$C$14:$C$62,C1288)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SUMIFS(RAB!$F$14:$F$62,RAB!$C$14:$C$62,C1289)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SUMIFS(RAB!$F$14:$F$62,RAB!$C$14:$C$62,C1290)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SUMIFS(RAB!$F$14:$F$62,RAB!$C$14:$C$62,C1291)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SUMIFS(RAB!$F$14:$F$62,RAB!$C$14:$C$62,C1292)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SUMIFS(RAB!$F$14:$F$62,RAB!$C$14:$C$62,C1293)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SUMIFS(RAB!$F$14:$F$62,RAB!$C$14:$C$62,C1294)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SUMIFS(RAB!$F$14:$F$62,RAB!$C$14:$C$62,C1295)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SUMIFS(RAB!$F$14:$F$62,RAB!$C$14:$C$62,C1296)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SUMIFS(RAB!$F$14:$F$62,RAB!$C$14:$C$62,C1297)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SUMIFS(RAB!$F$14:$F$62,RAB!$C$14:$C$62,C1298)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SUMIFS(RAB!$F$14:$F$62,RAB!$C$14:$C$62,C1299)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SUMIFS(RAB!$F$14:$F$62,RAB!$C$14:$C$62,C1300)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SUMIFS(RAB!$F$14:$F$62,RAB!$C$14:$C$62,C1301)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SUMIFS(RAB!$F$14:$F$62,RAB!$C$14:$C$62,C1302)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SUMIFS(RAB!$F$14:$F$62,RAB!$C$14:$C$62,C1303)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SUMIFS(RAB!$F$14:$F$62,RAB!$C$14:$C$62,C1304)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SUMIFS(RAB!$F$14:$F$62,RAB!$C$14:$C$62,C1305)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SUMIFS(RAB!$F$14:$F$62,RAB!$C$14:$C$62,C1306)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SUMIFS(RAB!$F$14:$F$62,RAB!$C$14:$C$62,C1307)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SUMIFS(RAB!$F$14:$F$62,RAB!$C$14:$C$62,C1308)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SUMIFS(RAB!$F$14:$F$62,RAB!$C$14:$C$62,C1309)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SUMIFS(RAB!$F$14:$F$62,RAB!$C$14:$C$62,C1310)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SUMIFS(RAB!$F$14:$F$62,RAB!$C$14:$C$62,C1311)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SUMIFS(RAB!$F$14:$F$62,RAB!$C$14:$C$62,C1312)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SUMIFS(RAB!$F$14:$F$62,RAB!$C$14:$C$62,C1313)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SUMIFS(RAB!$F$14:$F$62,RAB!$C$14:$C$62,C1314)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SUMIFS(RAB!$F$14:$F$62,RAB!$C$14:$C$62,C1315)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SUMIFS(RAB!$F$14:$F$62,RAB!$C$14:$C$62,C1316)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SUMIFS(RAB!$F$14:$F$62,RAB!$C$14:$C$62,C1317)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SUMIFS(RAB!$F$14:$F$62,RAB!$C$14:$C$62,C1318)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SUMIFS(RAB!$F$14:$F$62,RAB!$C$14:$C$62,C1319)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SUMIFS(RAB!$F$14:$F$62,RAB!$C$14:$C$62,C1320)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1127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HERI SISWANTO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KRAMAT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1008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SUMIFS(RAB!$F$14:$F$62,RAB!$C$14:$C$62,'REKAP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SUMIFS(RAB!$F$14:$F$62,RAB!$C$14:$C$62,'REKAP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SUMIFS(RAB!$F$14:$F$62,RAB!$C$14:$C$62,'REKAP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SUMIFS(RAB!$F$14:$F$62,RAB!$C$14:$C$62,'REKAP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SUMIFS(RAB!$F$14:$F$62,RAB!$C$14:$C$62,'REKAP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SUMIFS(RAB!$F$14:$F$62,RAB!$C$14:$C$62,'REKAP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SUMIFS(RAB!$F$14:$F$62,RAB!$C$14:$C$62,'REKAP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SUMIFS(RAB!$F$14:$F$62,RAB!$C$14:$C$62,'REKAP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SUMIFS(RAB!$F$14:$F$62,RAB!$C$14:$C$62,'REKAP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SUMIFS(RAB!$F$14:$F$62,RAB!$C$14:$C$62,'REKAP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SUMIFS(RAB!$F$14:$F$62,RAB!$C$14:$C$62,'REKAP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SUMIFS(RAB!$F$14:$F$62,RAB!$C$14:$C$62,'REKAP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SUMIFS(RAB!$F$14:$F$62,RAB!$C$14:$C$62,'REKAP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SUMIFS(RAB!$F$14:$F$62,RAB!$C$14:$C$62,'REKAP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SUMIFS(RAB!$F$14:$F$62,RAB!$C$14:$C$62,'REKAP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SUMIFS(RAB!$F$14:$F$62,RAB!$C$14:$C$62,'REKAP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SUMIFS(RAB!$F$14:$F$62,RAB!$C$14:$C$62,'REKAP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SUMIFS(RAB!$F$14:$F$62,RAB!$C$14:$C$62,'REKAP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SUMIFS(RAB!$F$14:$F$62,RAB!$C$14:$C$62,'REKAP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SUMIFS(RAB!$F$14:$F$62,RAB!$C$14:$C$62,'REKAP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C16" sqref="C16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1034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HERI SISWANTO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KRAMAT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2</v>
      </c>
      <c r="G21" s="41">
        <f ca="1">IF(ISERROR(OFFSET('HARGA SATUAN'!$I$6,MATCH(C21,'HARGA SATUAN'!$C$7:$C$1492,0),0)),"",OFFSET('HARGA SATUAN'!$I$6,MATCH(C21,'HARGA SATUAN'!$C$7:$C$1492,0),0))</f>
        <v>53300</v>
      </c>
      <c r="H21" s="42">
        <f t="shared" ca="1" si="1"/>
        <v>106600</v>
      </c>
      <c r="I21" s="42">
        <f t="shared" ca="1" si="2"/>
        <v>0</v>
      </c>
      <c r="J21" s="42">
        <f t="shared" ca="1" si="3"/>
        <v>0</v>
      </c>
      <c r="K21" s="43">
        <f t="shared" ca="1" si="0"/>
        <v>106600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2</v>
      </c>
      <c r="G22" s="41">
        <f ca="1">IF(ISERROR(OFFSET('HARGA SATUAN'!$I$6,MATCH(C22,'HARGA SATUAN'!$C$7:$C$1492,0),0)),"",OFFSET('HARGA SATUAN'!$I$6,MATCH(C22,'HARGA SATUAN'!$C$7:$C$1492,0),0))</f>
        <v>53300</v>
      </c>
      <c r="H22" s="42">
        <f t="shared" ca="1" si="1"/>
        <v>106600</v>
      </c>
      <c r="I22" s="42">
        <f t="shared" ca="1" si="2"/>
        <v>0</v>
      </c>
      <c r="J22" s="42">
        <f t="shared" ca="1" si="3"/>
        <v>0</v>
      </c>
      <c r="K22" s="43">
        <f t="shared" ca="1" si="0"/>
        <v>106600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2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20</v>
      </c>
      <c r="G23" s="41">
        <f ca="1">IF(ISERROR(OFFSET('HARGA SATUAN'!$I$6,MATCH(C23,'HARGA SATUAN'!$C$7:$C$1492,0),0)),"",OFFSET('HARGA SATUAN'!$I$6,MATCH(C23,'HARGA SATUAN'!$C$7:$C$1492,0),0))</f>
        <v>6600</v>
      </c>
      <c r="H23" s="42">
        <f t="shared" ca="1" si="1"/>
        <v>132000</v>
      </c>
      <c r="I23" s="42">
        <f t="shared" ca="1" si="2"/>
        <v>0</v>
      </c>
      <c r="J23" s="42">
        <f t="shared" ca="1" si="3"/>
        <v>0</v>
      </c>
      <c r="K23" s="43">
        <f t="shared" ca="1" si="0"/>
        <v>132000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1008</v>
      </c>
      <c r="D168" s="539"/>
      <c r="E168" s="539"/>
      <c r="F168" s="539"/>
      <c r="G168" s="77" t="s">
        <v>9</v>
      </c>
      <c r="H168" s="55">
        <f ca="1">SUM(H14:H167)</f>
        <v>29433850</v>
      </c>
      <c r="I168" s="55">
        <f ca="1">SUM(I14:I167)</f>
        <v>0</v>
      </c>
      <c r="J168" s="55">
        <f ca="1">SUM(J14:J167)</f>
        <v>0</v>
      </c>
      <c r="K168" s="55">
        <f ca="1">SUM(K14:K167)</f>
        <v>29433850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2943385</v>
      </c>
      <c r="I169" s="60">
        <f ca="1">I168*0.1</f>
        <v>0</v>
      </c>
      <c r="J169" s="60">
        <f ca="1">J168*0.1</f>
        <v>0</v>
      </c>
      <c r="K169" s="60">
        <f ca="1">K168*0.1</f>
        <v>2943385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32377235</v>
      </c>
      <c r="I170" s="78">
        <f ca="1">SUM(I168:I169)</f>
        <v>0</v>
      </c>
      <c r="J170" s="61">
        <f ca="1">SUM(J168:J169)</f>
        <v>0</v>
      </c>
      <c r="K170" s="61">
        <f ca="1">SUM(K168:K169)</f>
        <v>32377235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SUMIFS(RAB!$F$14:$F$62,RAB!$C$14:$C$62,C224)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SUMIFS(RAB!$F$14:$F$62,RAB!$C$14:$C$62,C225)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SUMIFS(RAB!$F$14:$F$62,RAB!$C$14:$C$62,C226)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SUMIFS(RAB!$F$14:$F$62,RAB!$C$14:$C$62,C227)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SUMIFS(RAB!$F$14:$F$62,RAB!$C$14:$C$62,C228)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SUMIFS(RAB!$F$14:$F$62,RAB!$C$14:$C$62,C229)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SUMIFS(RAB!$F$14:$F$62,RAB!$C$14:$C$62,C230)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SUMIFS(RAB!$F$14:$F$62,RAB!$C$14:$C$62,C231)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SUMIFS(RAB!$F$14:$F$62,RAB!$C$14:$C$62,C232)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SUMIFS(RAB!$F$14:$F$62,RAB!$C$14:$C$62,C233)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SUMIFS(RAB!$F$14:$F$62,RAB!$C$14:$C$62,C234)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SUMIFS(RAB!$F$14:$F$62,RAB!$C$14:$C$62,C235)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SUMIFS(RAB!$F$14:$F$62,RAB!$C$14:$C$62,C236)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SUMIFS(RAB!$F$14:$F$62,RAB!$C$14:$C$62,C237)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SUMIFS(RAB!$F$14:$F$62,RAB!$C$14:$C$62,C238)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SUMIFS(RAB!$F$14:$F$62,RAB!$C$14:$C$62,C239)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SUMIFS(RAB!$F$14:$F$62,RAB!$C$14:$C$62,C240)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SUMIFS(RAB!$F$14:$F$62,RAB!$C$14:$C$62,C241)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SUMIFS(RAB!$F$14:$F$62,RAB!$C$14:$C$62,C242)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SUMIFS(RAB!$F$14:$F$62,RAB!$C$14:$C$62,C243)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SUMIFS(RAB!$F$14:$F$62,RAB!$C$14:$C$62,C244)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SUMIFS(RAB!$F$14:$F$62,RAB!$C$14:$C$62,C245)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SUMIFS(RAB!$F$14:$F$62,RAB!$C$14:$C$62,C246)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SUMIFS(RAB!$F$14:$F$62,RAB!$C$14:$C$62,C247)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SUMIFS(RAB!$F$14:$F$62,RAB!$C$14:$C$62,C248)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SUMIFS(RAB!$F$14:$F$62,RAB!$C$14:$C$62,C249)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SUMIFS(RAB!$F$14:$F$62,RAB!$C$14:$C$62,C250)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SUMIFS(RAB!$F$14:$F$62,RAB!$C$14:$C$62,C251)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SUMIFS(RAB!$F$14:$F$62,RAB!$C$14:$C$62,C252)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SUMIFS(RAB!$F$14:$F$62,RAB!$C$14:$C$62,C253)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SUMIFS(RAB!$F$14:$F$62,RAB!$C$14:$C$62,C254)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SUMIFS(RAB!$F$14:$F$62,RAB!$C$14:$C$62,C255)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SUMIFS(RAB!$F$14:$F$62,RAB!$C$14:$C$62,C256)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SUMIFS(RAB!$F$14:$F$62,RAB!$C$14:$C$62,C257)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SUMIFS(RAB!$F$14:$F$62,RAB!$C$14:$C$62,C258)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SUMIFS(RAB!$F$14:$F$62,RAB!$C$14:$C$62,C259)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SUMIFS(RAB!$F$14:$F$62,RAB!$C$14:$C$62,C260)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SUMIFS(RAB!$F$14:$F$62,RAB!$C$14:$C$62,C261)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SUMIFS(RAB!$F$14:$F$62,RAB!$C$14:$C$62,C262)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SUMIFS(RAB!$F$14:$F$62,RAB!$C$14:$C$62,C263)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SUMIFS(RAB!$F$14:$F$62,RAB!$C$14:$C$62,C264)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SUMIFS(RAB!$F$14:$F$62,RAB!$C$14:$C$62,C265)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SUMIFS(RAB!$F$14:$F$62,RAB!$C$14:$C$62,C266)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SUMIFS(RAB!$F$14:$F$62,RAB!$C$14:$C$62,C267)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SUMIFS(RAB!$F$14:$F$62,RAB!$C$14:$C$62,C268)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SUMIFS(RAB!$F$14:$F$62,RAB!$C$14:$C$62,C269)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SUMIFS(RAB!$F$14:$F$62,RAB!$C$14:$C$62,C270)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SUMIFS(RAB!$F$14:$F$62,RAB!$C$14:$C$62,C271)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SUMIFS(RAB!$F$14:$F$62,RAB!$C$14:$C$62,C272)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SUMIFS(RAB!$F$14:$F$62,RAB!$C$14:$C$62,C273)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SUMIFS(RAB!$F$14:$F$62,RAB!$C$14:$C$62,C274)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SUMIFS(RAB!$F$14:$F$62,RAB!$C$14:$C$62,C275)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SUMIFS(RAB!$F$14:$F$62,RAB!$C$14:$C$62,C276)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SUMIFS(RAB!$F$14:$F$62,RAB!$C$14:$C$62,C277)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SUMIFS(RAB!$F$14:$F$62,RAB!$C$14:$C$62,C278)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SUMIFS(RAB!$F$14:$F$62,RAB!$C$14:$C$62,C279)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SUMIFS(RAB!$F$14:$F$62,RAB!$C$14:$C$62,C280)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SUMIFS(RAB!$F$14:$F$62,RAB!$C$14:$C$62,C281)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SUMIFS(RAB!$F$14:$F$62,RAB!$C$14:$C$62,C282)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SUMIFS(RAB!$F$14:$F$62,RAB!$C$14:$C$62,C283)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SUMIFS(RAB!$F$14:$F$62,RAB!$C$14:$C$62,C284)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SUMIFS(RAB!$F$14:$F$62,RAB!$C$14:$C$62,C285)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SUMIFS(RAB!$F$14:$F$62,RAB!$C$14:$C$62,C286)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SUMIFS(RAB!$F$14:$F$62,RAB!$C$14:$C$62,C287)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SUMIFS(RAB!$F$14:$F$62,RAB!$C$14:$C$62,C288)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SUMIFS(RAB!$F$14:$F$62,RAB!$C$14:$C$62,C289)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SUMIFS(RAB!$F$14:$F$62,RAB!$C$14:$C$62,C290)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SUMIFS(RAB!$F$14:$F$62,RAB!$C$14:$C$62,C291)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SUMIFS(RAB!$F$14:$F$62,RAB!$C$14:$C$62,C292)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SUMIFS(RAB!$F$14:$F$62,RAB!$C$14:$C$62,C293)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SUMIFS(RAB!$F$14:$F$62,RAB!$C$14:$C$62,C294)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SUMIFS(RAB!$F$14:$F$62,RAB!$C$14:$C$62,C295)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SUMIFS(RAB!$F$14:$F$62,RAB!$C$14:$C$62,C296)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SUMIFS(RAB!$F$14:$F$62,RAB!$C$14:$C$62,C297)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SUMIFS(RAB!$F$14:$F$62,RAB!$C$14:$C$62,C298)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SUMIFS(RAB!$F$14:$F$62,RAB!$C$14:$C$62,C299)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SUMIFS(RAB!$F$14:$F$62,RAB!$C$14:$C$62,C300)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SUMIFS(RAB!$F$14:$F$62,RAB!$C$14:$C$62,C301)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SUMIFS(RAB!$F$14:$F$62,RAB!$C$14:$C$62,C302)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SUMIFS(RAB!$F$14:$F$62,RAB!$C$14:$C$62,C303)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SUMIFS(RAB!$F$14:$F$62,RAB!$C$14:$C$62,C304)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SUMIFS(RAB!$F$14:$F$62,RAB!$C$14:$C$62,C305)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SUMIFS(RAB!$F$14:$F$62,RAB!$C$14:$C$62,C306)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SUMIFS(RAB!$F$14:$F$62,RAB!$C$14:$C$62,C307)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SUMIFS(RAB!$F$14:$F$62,RAB!$C$14:$C$62,C308)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SUMIFS(RAB!$F$14:$F$62,RAB!$C$14:$C$62,C309)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SUMIFS(RAB!$F$14:$F$62,RAB!$C$14:$C$62,C310)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SUMIFS(RAB!$F$14:$F$62,RAB!$C$14:$C$62,C311)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SUMIFS(RAB!$F$14:$F$62,RAB!$C$14:$C$62,C312)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SUMIFS(RAB!$F$14:$F$62,RAB!$C$14:$C$62,C313)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SUMIFS(RAB!$F$14:$F$62,RAB!$C$14:$C$62,C314)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SUMIFS(RAB!$F$14:$F$62,RAB!$C$14:$C$62,C315)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SUMIFS(RAB!$F$14:$F$62,RAB!$C$14:$C$62,C316)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SUMIFS(RAB!$F$14:$F$62,RAB!$C$14:$C$62,C317)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SUMIFS(RAB!$F$14:$F$62,RAB!$C$14:$C$62,C318)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SUMIFS(RAB!$F$14:$F$62,RAB!$C$14:$C$62,C319)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SUMIFS(RAB!$F$14:$F$62,RAB!$C$14:$C$62,C320)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SUMIFS(RAB!$F$14:$F$62,RAB!$C$14:$C$62,C321)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SUMIFS(RAB!$F$14:$F$62,RAB!$C$14:$C$62,C322)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SUMIFS(RAB!$F$14:$F$62,RAB!$C$14:$C$62,C323)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SUMIFS(RAB!$F$14:$F$62,RAB!$C$14:$C$62,C324)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SUMIFS(RAB!$F$14:$F$62,RAB!$C$14:$C$62,C325)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SUMIFS(RAB!$F$14:$F$62,RAB!$C$14:$C$62,C326)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SUMIFS(RAB!$F$14:$F$62,RAB!$C$14:$C$62,C327)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SUMIFS(RAB!$F$14:$F$62,RAB!$C$14:$C$62,C328)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SUMIFS(RAB!$F$14:$F$62,RAB!$C$14:$C$62,C329)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SUMIFS(RAB!$F$14:$F$62,RAB!$C$14:$C$62,C330)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SUMIFS(RAB!$F$14:$F$62,RAB!$C$14:$C$62,C331)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SUMIFS(RAB!$F$14:$F$62,RAB!$C$14:$C$62,C332)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SUMIFS(RAB!$F$14:$F$62,RAB!$C$14:$C$62,C333)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SUMIFS(RAB!$F$14:$F$62,RAB!$C$14:$C$62,C334)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SUMIFS(RAB!$F$14:$F$62,RAB!$C$14:$C$62,C335)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SUMIFS(RAB!$F$14:$F$62,RAB!$C$14:$C$62,C336)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SUMIFS(RAB!$F$14:$F$62,RAB!$C$14:$C$62,C337)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SUMIFS(RAB!$F$14:$F$62,RAB!$C$14:$C$62,C338)</f>
        <v>2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SUMIFS(RAB!$F$14:$F$62,RAB!$C$14:$C$62,C339)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SUMIFS(RAB!$F$14:$F$62,RAB!$C$14:$C$62,C340)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SUMIFS(RAB!$F$14:$F$62,RAB!$C$14:$C$62,C341)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SUMIFS(RAB!$F$14:$F$62,RAB!$C$14:$C$62,C342)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SUMIFS(RAB!$F$14:$F$62,RAB!$C$14:$C$62,C343)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SUMIFS(RAB!$F$14:$F$62,RAB!$C$14:$C$62,C344)</f>
        <v>2</v>
      </c>
      <c r="E344" s="24">
        <f t="shared" ca="1" si="22"/>
        <v>1</v>
      </c>
      <c r="F344" s="24">
        <f ca="1">IF(D344=0,0,SUM($E$223:E344))</f>
        <v>6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2 x 70 + N 70 mm²</v>
      </c>
      <c r="D345" s="72">
        <f ca="1">SUMIFS(RAB!$F$14:$F$62,RAB!$C$14:$C$62,C345)</f>
        <v>2</v>
      </c>
      <c r="E345" s="24">
        <f t="shared" ca="1" si="22"/>
        <v>1</v>
      </c>
      <c r="F345" s="24">
        <f ca="1">IF(D345=0,0,SUM($E$223:E345))</f>
        <v>7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SUMIFS(RAB!$F$14:$F$62,RAB!$C$14:$C$62,C346)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SUMIFS(RAB!$F$14:$F$62,RAB!$C$14:$C$62,C347)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SUMIFS(RAB!$F$14:$F$62,RAB!$C$14:$C$62,C348)</f>
        <v>20</v>
      </c>
      <c r="E348" s="24">
        <f t="shared" ca="1" si="22"/>
        <v>1</v>
      </c>
      <c r="F348" s="24">
        <f ca="1">IF(D348=0,0,SUM($E$223:E348))</f>
        <v>8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SUMIFS(RAB!$F$14:$F$62,RAB!$C$14:$C$62,C349)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SUMIFS(RAB!$F$14:$F$62,RAB!$C$14:$C$62,C350)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SUMIFS(RAB!$F$14:$F$62,RAB!$C$14:$C$62,C351)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SUMIFS(RAB!$F$14:$F$62,RAB!$C$14:$C$62,C352)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SUMIFS(RAB!$F$14:$F$62,RAB!$C$14:$C$62,C353)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SUMIFS(RAB!$F$14:$F$62,RAB!$C$14:$C$62,C354)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SUMIFS(RAB!$F$14:$F$62,RAB!$C$14:$C$62,C355)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SUMIFS(RAB!$F$14:$F$62,RAB!$C$14:$C$62,C356)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SUMIFS(RAB!$F$14:$F$62,RAB!$C$14:$C$62,C357)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SUMIFS(RAB!$F$14:$F$62,RAB!$C$14:$C$62,C358)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SUMIFS(RAB!$F$14:$F$62,RAB!$C$14:$C$62,C359)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SUMIFS(RAB!$F$14:$F$62,RAB!$C$14:$C$62,C360)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SUMIFS(RAB!$F$14:$F$62,RAB!$C$14:$C$62,C361)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SUMIFS(RAB!$F$14:$F$62,RAB!$C$14:$C$62,C362)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SUMIFS(RAB!$F$14:$F$62,RAB!$C$14:$C$62,C363)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SUMIFS(RAB!$F$14:$F$62,RAB!$C$14:$C$62,C364)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SUMIFS(RAB!$F$14:$F$62,RAB!$C$14:$C$62,C365)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SUMIFS(RAB!$F$14:$F$62,RAB!$C$14:$C$62,C366)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SUMIFS(RAB!$F$14:$F$62,RAB!$C$14:$C$62,C367)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SUMIFS(RAB!$F$14:$F$62,RAB!$C$14:$C$62,C368)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SUMIFS(RAB!$F$14:$F$62,RAB!$C$14:$C$62,C369)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SUMIFS(RAB!$F$14:$F$62,RAB!$C$14:$C$62,C370)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SUMIFS(RAB!$F$14:$F$62,RAB!$C$14:$C$62,C371)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SUMIFS(RAB!$F$14:$F$62,RAB!$C$14:$C$62,C372)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SUMIFS(RAB!$F$14:$F$62,RAB!$C$14:$C$62,C373)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9"/>
    </row>
    <row r="4" spans="4:4" ht="57" customHeight="1">
      <c r="D4" s="469">
        <v>3</v>
      </c>
    </row>
    <row r="5" spans="4:4" ht="57" customHeight="1">
      <c r="D5" s="46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9" sqref="C9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1609</v>
      </c>
      <c r="G4" s="108" t="s">
        <v>1608</v>
      </c>
      <c r="H4" s="55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1402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1403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8">
        <v>2740</v>
      </c>
      <c r="G1433" s="49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1404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1405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1406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1407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1408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1409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1410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1411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1412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1413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1414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1415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1416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1417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1418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1419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1420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1421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1422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1423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1424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9" t="s">
        <v>1425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9" t="s">
        <v>1426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9" t="s">
        <v>1427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9" t="s">
        <v>1428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1429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1430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9" t="s">
        <v>1430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1431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1432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1433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1434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1435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1436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1437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N24" sqref="N2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4" t="s">
        <v>1453</v>
      </c>
      <c r="C2" s="564"/>
      <c r="D2" s="564"/>
      <c r="E2" s="56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9" t="s">
        <v>1535</v>
      </c>
      <c r="C4" s="570"/>
      <c r="D4" s="570"/>
      <c r="E4" s="571"/>
      <c r="F4" s="451"/>
      <c r="G4" s="451"/>
      <c r="H4" s="452"/>
      <c r="I4" s="596" t="s">
        <v>1536</v>
      </c>
      <c r="J4" s="597"/>
      <c r="K4" s="597"/>
      <c r="L4" s="598"/>
    </row>
    <row r="5" spans="1:12" ht="34.5" customHeight="1">
      <c r="A5" s="204"/>
      <c r="B5" s="454" t="s">
        <v>1379</v>
      </c>
      <c r="C5" s="277" t="s">
        <v>9</v>
      </c>
      <c r="D5" s="565" t="str">
        <f>DATA!D14</f>
        <v>HERI SISWANTO</v>
      </c>
      <c r="E5" s="566"/>
      <c r="F5" s="208"/>
      <c r="G5" s="208"/>
      <c r="I5" s="455" t="s">
        <v>1379</v>
      </c>
      <c r="J5" s="277" t="s">
        <v>9</v>
      </c>
      <c r="K5" s="599" t="str">
        <f>D5</f>
        <v>HERI SISWANTO</v>
      </c>
      <c r="L5" s="600"/>
    </row>
    <row r="6" spans="1:12" ht="31.5" customHeight="1">
      <c r="A6" s="204"/>
      <c r="B6" s="454" t="s">
        <v>1532</v>
      </c>
      <c r="C6" s="277" t="s">
        <v>9</v>
      </c>
      <c r="D6" s="574">
        <f>DATA!D17*1000</f>
        <v>0</v>
      </c>
      <c r="E6" s="575"/>
      <c r="F6" s="208"/>
      <c r="G6" s="208"/>
      <c r="I6" s="455" t="s">
        <v>1533</v>
      </c>
      <c r="J6" s="277" t="s">
        <v>9</v>
      </c>
      <c r="K6" s="601">
        <f>DATA!D20*1000</f>
        <v>11000</v>
      </c>
      <c r="L6" s="602"/>
    </row>
    <row r="7" spans="1:12" ht="30.75" customHeight="1">
      <c r="A7" s="204"/>
      <c r="B7" s="454" t="s">
        <v>1440</v>
      </c>
      <c r="C7" s="277" t="s">
        <v>9</v>
      </c>
      <c r="D7" s="572">
        <f>DATA!D18</f>
        <v>1</v>
      </c>
      <c r="E7" s="573"/>
      <c r="F7" s="453" t="s">
        <v>1452</v>
      </c>
      <c r="I7" s="455" t="s">
        <v>1440</v>
      </c>
      <c r="J7" s="277" t="s">
        <v>9</v>
      </c>
      <c r="K7" s="603">
        <f>DATA!D21</f>
        <v>1</v>
      </c>
      <c r="L7" s="604"/>
    </row>
    <row r="8" spans="1:12" ht="51" customHeight="1">
      <c r="A8" s="204"/>
      <c r="B8" s="454" t="s">
        <v>1441</v>
      </c>
      <c r="C8" s="277" t="s">
        <v>9</v>
      </c>
      <c r="D8" s="572">
        <f>DATA!D19</f>
        <v>220</v>
      </c>
      <c r="E8" s="573"/>
      <c r="F8" s="453" t="s">
        <v>1452</v>
      </c>
      <c r="G8" s="448">
        <v>220</v>
      </c>
      <c r="I8" s="455" t="s">
        <v>1441</v>
      </c>
      <c r="J8" s="277" t="s">
        <v>9</v>
      </c>
      <c r="K8" s="603">
        <f>DATA!D22</f>
        <v>220</v>
      </c>
      <c r="L8" s="604"/>
    </row>
    <row r="9" spans="1:12" ht="30" customHeight="1" thickBot="1">
      <c r="A9" s="204"/>
      <c r="B9" s="460" t="s">
        <v>1544</v>
      </c>
      <c r="C9" s="450" t="s">
        <v>9</v>
      </c>
      <c r="D9" s="567">
        <f>IF(D7=1,D6/(380/3^0.5),(D6/(380*3^0.5)))</f>
        <v>0</v>
      </c>
      <c r="E9" s="568"/>
      <c r="F9" s="207"/>
      <c r="G9" s="449">
        <v>380</v>
      </c>
      <c r="I9" s="461" t="s">
        <v>1544</v>
      </c>
      <c r="J9" s="450" t="s">
        <v>9</v>
      </c>
      <c r="K9" s="605">
        <f>IF(K7=1,K6/(380/3^0.5),(K6/(380*3^0.5)))</f>
        <v>50.138312850678027</v>
      </c>
      <c r="L9" s="606"/>
    </row>
    <row r="10" spans="1:12" ht="24.75" customHeight="1">
      <c r="B10" s="462"/>
      <c r="C10" s="459"/>
      <c r="D10" s="463"/>
      <c r="E10" s="463"/>
      <c r="F10" s="207"/>
      <c r="G10" s="449"/>
      <c r="I10" s="462"/>
      <c r="J10" s="459"/>
      <c r="K10" s="463"/>
      <c r="L10" s="463"/>
    </row>
    <row r="11" spans="1:12" ht="16.5" thickBot="1">
      <c r="B11" s="456" t="s">
        <v>1545</v>
      </c>
      <c r="I11" s="456" t="s">
        <v>1539</v>
      </c>
    </row>
    <row r="12" spans="1:12" ht="34.5" customHeight="1">
      <c r="A12" s="204"/>
      <c r="B12" s="484" t="s">
        <v>1537</v>
      </c>
      <c r="C12" s="478" t="s">
        <v>9</v>
      </c>
      <c r="D12" s="576"/>
      <c r="E12" s="577"/>
      <c r="F12" s="208"/>
      <c r="G12" s="208"/>
      <c r="I12" s="477" t="s">
        <v>1537</v>
      </c>
      <c r="J12" s="478" t="s">
        <v>9</v>
      </c>
      <c r="K12" s="576"/>
      <c r="L12" s="577"/>
    </row>
    <row r="13" spans="1:12" ht="31.5" customHeight="1">
      <c r="A13" s="204"/>
      <c r="B13" s="485" t="s">
        <v>1380</v>
      </c>
      <c r="C13" s="465" t="s">
        <v>9</v>
      </c>
      <c r="D13" s="580"/>
      <c r="E13" s="581"/>
      <c r="F13" s="208"/>
      <c r="G13" s="208"/>
      <c r="I13" s="479" t="s">
        <v>1380</v>
      </c>
      <c r="J13" s="465" t="s">
        <v>9</v>
      </c>
      <c r="K13" s="580"/>
      <c r="L13" s="581"/>
    </row>
    <row r="14" spans="1:12" ht="30.75" customHeight="1">
      <c r="A14" s="204"/>
      <c r="B14" s="485" t="s">
        <v>1538</v>
      </c>
      <c r="C14" s="465" t="s">
        <v>9</v>
      </c>
      <c r="D14" s="588">
        <v>50</v>
      </c>
      <c r="E14" s="589"/>
      <c r="F14" s="453" t="s">
        <v>1452</v>
      </c>
      <c r="G14" s="457">
        <v>50</v>
      </c>
      <c r="I14" s="479" t="s">
        <v>1538</v>
      </c>
      <c r="J14" s="465" t="s">
        <v>9</v>
      </c>
      <c r="K14" s="590">
        <v>50</v>
      </c>
      <c r="L14" s="591"/>
    </row>
    <row r="15" spans="1:12" ht="57" customHeight="1">
      <c r="A15" s="204"/>
      <c r="B15" s="485" t="s">
        <v>1440</v>
      </c>
      <c r="C15" s="465" t="s">
        <v>9</v>
      </c>
      <c r="D15" s="471">
        <v>1</v>
      </c>
      <c r="E15" s="480"/>
      <c r="F15" s="453" t="s">
        <v>1452</v>
      </c>
      <c r="G15" s="457">
        <v>100</v>
      </c>
      <c r="I15" s="479" t="s">
        <v>1440</v>
      </c>
      <c r="J15" s="465" t="s">
        <v>9</v>
      </c>
      <c r="K15" s="471">
        <v>1</v>
      </c>
      <c r="L15" s="480"/>
    </row>
    <row r="16" spans="1:12" ht="44.25" customHeight="1">
      <c r="A16" s="204"/>
      <c r="B16" s="485" t="s">
        <v>1548</v>
      </c>
      <c r="C16" s="465"/>
      <c r="D16" s="592">
        <v>75</v>
      </c>
      <c r="E16" s="593"/>
      <c r="F16" s="453"/>
      <c r="G16" s="457">
        <v>160</v>
      </c>
      <c r="I16" s="479" t="s">
        <v>1540</v>
      </c>
      <c r="J16" s="465" t="s">
        <v>9</v>
      </c>
      <c r="K16" s="594">
        <f>K9</f>
        <v>50.138312850678027</v>
      </c>
      <c r="L16" s="595"/>
    </row>
    <row r="17" spans="1:12" ht="34.5" customHeight="1">
      <c r="A17" s="204"/>
      <c r="B17" s="485" t="s">
        <v>1541</v>
      </c>
      <c r="C17" s="465" t="s">
        <v>9</v>
      </c>
      <c r="D17" s="582">
        <f>IF(D15=1,D14/(20/3^0.5),(D14/(20*3^0.5)))</f>
        <v>4.3301270189221928</v>
      </c>
      <c r="E17" s="583"/>
      <c r="F17" s="453" t="s">
        <v>1452</v>
      </c>
      <c r="G17" s="458">
        <v>200</v>
      </c>
      <c r="I17" s="479" t="s">
        <v>1541</v>
      </c>
      <c r="J17" s="465" t="s">
        <v>9</v>
      </c>
      <c r="K17" s="586">
        <f>IF(K15=1,K14/(20/3^0.5),(K14/(20*3^0.5)))</f>
        <v>4.3301270189221928</v>
      </c>
      <c r="L17" s="587"/>
    </row>
    <row r="18" spans="1:12" ht="34.5" customHeight="1">
      <c r="A18" s="204"/>
      <c r="B18" s="485" t="s">
        <v>1542</v>
      </c>
      <c r="C18" s="465" t="s">
        <v>9</v>
      </c>
      <c r="D18" s="582">
        <f>IF(D15=1,D14/(380/3^0.5),(D14/(380*3^0.5)))*1000</f>
        <v>227.90142204853646</v>
      </c>
      <c r="E18" s="583"/>
      <c r="F18" s="453" t="s">
        <v>1452</v>
      </c>
      <c r="G18" s="458">
        <v>250</v>
      </c>
      <c r="I18" s="479" t="s">
        <v>1542</v>
      </c>
      <c r="J18" s="465" t="s">
        <v>9</v>
      </c>
      <c r="K18" s="586">
        <f>IF(K15=1,K14/(380/3^0.5),(K14/(380*3^0.5)))*1000</f>
        <v>227.90142204853646</v>
      </c>
      <c r="L18" s="587"/>
    </row>
    <row r="19" spans="1:12" ht="30" customHeight="1">
      <c r="A19" s="204"/>
      <c r="B19" s="486" t="s">
        <v>1534</v>
      </c>
      <c r="C19" s="464" t="s">
        <v>9</v>
      </c>
      <c r="D19" s="582">
        <f>IF(D15=1,D14/(380/3^0.5),(D14/(380*3^0.5)))</f>
        <v>0.22790142204853647</v>
      </c>
      <c r="E19" s="583"/>
      <c r="F19" s="207"/>
      <c r="G19" s="449"/>
      <c r="I19" s="481" t="s">
        <v>1534</v>
      </c>
      <c r="J19" s="464" t="s">
        <v>9</v>
      </c>
      <c r="K19" s="586">
        <f>IF(K15=1,K14/(380/3^0.5),(K14/(380*3^0.5)))</f>
        <v>0.22790142204853647</v>
      </c>
      <c r="L19" s="587"/>
    </row>
    <row r="20" spans="1:12" ht="30" customHeight="1" thickBot="1">
      <c r="A20" s="204"/>
      <c r="B20" s="487" t="s">
        <v>1543</v>
      </c>
      <c r="C20" s="483" t="s">
        <v>9</v>
      </c>
      <c r="D20" s="578">
        <f>D16/D18</f>
        <v>0.32908965343808672</v>
      </c>
      <c r="E20" s="579"/>
      <c r="F20" s="207"/>
      <c r="G20" s="449"/>
      <c r="I20" s="482" t="s">
        <v>1534</v>
      </c>
      <c r="J20" s="483" t="s">
        <v>9</v>
      </c>
      <c r="K20" s="584">
        <f>K16/K18</f>
        <v>0.22000000000000003</v>
      </c>
      <c r="L20" s="585"/>
    </row>
    <row r="21" spans="1:12" ht="9.75" customHeight="1">
      <c r="A21" s="204"/>
      <c r="B21" s="472" t="s">
        <v>1543</v>
      </c>
      <c r="C21" s="473" t="s">
        <v>9</v>
      </c>
      <c r="D21" s="563">
        <v>1</v>
      </c>
      <c r="E21" s="563"/>
      <c r="F21" s="474"/>
      <c r="G21" s="475"/>
      <c r="H21" s="476"/>
      <c r="I21" s="472" t="s">
        <v>1534</v>
      </c>
      <c r="J21" s="473" t="s">
        <v>9</v>
      </c>
      <c r="K21" s="563">
        <v>1</v>
      </c>
      <c r="L21" s="563"/>
    </row>
    <row r="22" spans="1:12" ht="6.75" customHeight="1">
      <c r="B22" s="462"/>
      <c r="C22" s="459"/>
      <c r="D22" s="470"/>
      <c r="E22" s="470"/>
      <c r="F22" s="207"/>
      <c r="G22" s="449"/>
      <c r="J22" s="459"/>
      <c r="K22" s="470"/>
      <c r="L22" s="470"/>
    </row>
    <row r="23" spans="1:12" ht="15.75" thickBot="1"/>
    <row r="24" spans="1:12" ht="200.25" customHeight="1" thickBot="1">
      <c r="B24" s="560"/>
      <c r="C24" s="561"/>
      <c r="D24" s="561"/>
      <c r="E24" s="562"/>
      <c r="I24" s="560"/>
      <c r="J24" s="561"/>
      <c r="K24" s="561"/>
      <c r="L24" s="562"/>
    </row>
    <row r="26" spans="1:12">
      <c r="D26" s="467"/>
    </row>
    <row r="27" spans="1:12">
      <c r="D27" s="46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8" zoomScaleNormal="100" workbookViewId="0">
      <selection activeCell="I23" sqref="I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7"/>
      <c r="C1" s="607"/>
      <c r="D1" s="607"/>
    </row>
    <row r="2" spans="2:11" ht="15.75" customHeight="1">
      <c r="B2" s="288" t="s">
        <v>1442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501">
        <v>1084.1250458865841</v>
      </c>
      <c r="F5" s="496" t="s">
        <v>1610</v>
      </c>
      <c r="K5" s="49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1443</v>
      </c>
      <c r="C8" s="292" t="s">
        <v>9</v>
      </c>
      <c r="D8" s="298">
        <f>D20-D17</f>
        <v>11</v>
      </c>
    </row>
    <row r="9" spans="2:11" ht="20.100000000000001" customHeight="1">
      <c r="B9" s="291" t="s">
        <v>1444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1445</v>
      </c>
      <c r="C10" s="292" t="s">
        <v>9</v>
      </c>
      <c r="D10" s="298">
        <f ca="1">RAB!K68</f>
        <v>36725479.207470834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734509.58414941665</v>
      </c>
    </row>
    <row r="12" spans="2:11" ht="9" customHeight="1">
      <c r="B12" s="608"/>
      <c r="C12" s="608"/>
      <c r="D12" s="608"/>
    </row>
    <row r="13" spans="2:11" ht="15.75" customHeight="1">
      <c r="B13" s="299"/>
      <c r="C13" s="299"/>
      <c r="D13" s="299"/>
    </row>
    <row r="14" spans="2:11" ht="33.75" customHeight="1">
      <c r="B14" s="424" t="s">
        <v>1379</v>
      </c>
      <c r="C14" s="425" t="s">
        <v>9</v>
      </c>
      <c r="D14" s="430" t="s">
        <v>1620</v>
      </c>
      <c r="E14" s="300" t="s">
        <v>1452</v>
      </c>
    </row>
    <row r="15" spans="2:11" ht="20.100000000000001" customHeight="1">
      <c r="B15" s="426" t="s">
        <v>1446</v>
      </c>
      <c r="C15" s="427" t="s">
        <v>9</v>
      </c>
      <c r="D15" s="431" t="s">
        <v>1629</v>
      </c>
      <c r="E15" s="300" t="s">
        <v>1452</v>
      </c>
    </row>
    <row r="16" spans="2:11" ht="20.100000000000001" customHeight="1">
      <c r="B16" s="426" t="s">
        <v>1447</v>
      </c>
      <c r="C16" s="427" t="s">
        <v>9</v>
      </c>
      <c r="D16" s="431" t="s">
        <v>1450</v>
      </c>
      <c r="E16" s="300" t="s">
        <v>1452</v>
      </c>
    </row>
    <row r="17" spans="2:5" ht="20.100000000000001" customHeight="1">
      <c r="B17" s="426" t="s">
        <v>1448</v>
      </c>
      <c r="C17" s="427" t="s">
        <v>9</v>
      </c>
      <c r="D17" s="432">
        <v>0</v>
      </c>
      <c r="E17" s="300" t="s">
        <v>1452</v>
      </c>
    </row>
    <row r="18" spans="2:5" ht="20.100000000000001" hidden="1" customHeight="1">
      <c r="B18" s="426" t="s">
        <v>1546</v>
      </c>
      <c r="C18" s="427"/>
      <c r="D18" s="432">
        <f>IF((D17&lt;=11),1,3)</f>
        <v>1</v>
      </c>
      <c r="E18" s="300"/>
    </row>
    <row r="19" spans="2:5" ht="20.100000000000001" hidden="1" customHeight="1">
      <c r="B19" s="426" t="s">
        <v>1547</v>
      </c>
      <c r="C19" s="427"/>
      <c r="D19" s="432">
        <f>IF((D17&lt;=11),220,380)</f>
        <v>220</v>
      </c>
      <c r="E19" s="300"/>
    </row>
    <row r="20" spans="2:5" ht="20.100000000000001" customHeight="1">
      <c r="B20" s="426" t="s">
        <v>1449</v>
      </c>
      <c r="C20" s="427" t="s">
        <v>9</v>
      </c>
      <c r="D20" s="432">
        <v>11</v>
      </c>
      <c r="E20" s="300" t="s">
        <v>1452</v>
      </c>
    </row>
    <row r="21" spans="2:5" ht="20.100000000000001" hidden="1" customHeight="1">
      <c r="B21" s="426" t="s">
        <v>1546</v>
      </c>
      <c r="C21" s="427"/>
      <c r="D21" s="432">
        <f>IF((D20&lt;=11),1,3)</f>
        <v>1</v>
      </c>
      <c r="E21" s="300"/>
    </row>
    <row r="22" spans="2:5" ht="20.100000000000001" hidden="1" customHeight="1">
      <c r="B22" s="426" t="s">
        <v>1547</v>
      </c>
      <c r="C22" s="427"/>
      <c r="D22" s="432">
        <f>IF((D20&lt;=11),220,380)</f>
        <v>220</v>
      </c>
      <c r="E22" s="300"/>
    </row>
    <row r="23" spans="2:5" ht="20.100000000000001" customHeight="1">
      <c r="B23" s="426" t="s">
        <v>1353</v>
      </c>
      <c r="C23" s="427" t="s">
        <v>9</v>
      </c>
      <c r="D23" s="431">
        <v>1444.7</v>
      </c>
      <c r="E23" s="300" t="s">
        <v>1452</v>
      </c>
    </row>
    <row r="24" spans="2:5" ht="20.100000000000001" customHeight="1">
      <c r="B24" s="426" t="s">
        <v>1354</v>
      </c>
      <c r="C24" s="427" t="s">
        <v>9</v>
      </c>
      <c r="D24" s="431">
        <v>1444.7</v>
      </c>
      <c r="E24" s="300" t="s">
        <v>1452</v>
      </c>
    </row>
    <row r="25" spans="2:5" ht="20.100000000000001" customHeight="1">
      <c r="B25" s="426" t="s">
        <v>1451</v>
      </c>
      <c r="C25" s="427" t="s">
        <v>9</v>
      </c>
      <c r="D25" s="432">
        <v>969</v>
      </c>
      <c r="E25" s="300" t="s">
        <v>1452</v>
      </c>
    </row>
    <row r="26" spans="2:5" ht="20.100000000000001" customHeight="1">
      <c r="B26" s="428" t="s">
        <v>1355</v>
      </c>
      <c r="C26" s="429" t="s">
        <v>9</v>
      </c>
      <c r="D26" s="433">
        <v>40</v>
      </c>
      <c r="E26" s="300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85" zoomScaleNormal="85" workbookViewId="0">
      <pane ySplit="6" topLeftCell="A31" activePane="bottomLeft" state="frozen"/>
      <selection activeCell="H1093" sqref="H1093"/>
      <selection pane="bottomLeft" activeCell="H37" sqref="H37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9" t="s">
        <v>1357</v>
      </c>
      <c r="C3" s="609"/>
      <c r="D3" s="609"/>
      <c r="E3" s="609"/>
      <c r="F3" s="305" t="str">
        <f>DATA!D14</f>
        <v>HERI SISWANTO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0" t="s">
        <v>1349</v>
      </c>
      <c r="C5" s="610" t="s">
        <v>1358</v>
      </c>
      <c r="D5" s="611" t="s">
        <v>1359</v>
      </c>
      <c r="E5" s="611" t="s">
        <v>1360</v>
      </c>
      <c r="F5" s="610" t="s">
        <v>1361</v>
      </c>
      <c r="G5" s="610"/>
      <c r="H5" s="610"/>
      <c r="I5" s="610"/>
      <c r="J5" s="610"/>
      <c r="K5" s="610" t="s">
        <v>1362</v>
      </c>
      <c r="L5" s="610"/>
      <c r="M5" s="307"/>
      <c r="N5" s="614" t="s">
        <v>1363</v>
      </c>
      <c r="O5" s="611" t="s">
        <v>1364</v>
      </c>
      <c r="P5" s="611" t="s">
        <v>1365</v>
      </c>
      <c r="Q5" s="611" t="s">
        <v>1366</v>
      </c>
      <c r="R5" s="308"/>
      <c r="S5" s="309"/>
      <c r="T5" s="612" t="s">
        <v>1367</v>
      </c>
      <c r="U5" s="310"/>
    </row>
    <row r="6" spans="1:21" ht="20.100000000000001" customHeight="1">
      <c r="B6" s="610"/>
      <c r="C6" s="610"/>
      <c r="D6" s="610"/>
      <c r="E6" s="610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5"/>
      <c r="O6" s="610"/>
      <c r="P6" s="610"/>
      <c r="Q6" s="610"/>
      <c r="R6" s="308"/>
      <c r="S6" s="309"/>
      <c r="T6" s="610"/>
      <c r="U6" s="312"/>
    </row>
    <row r="7" spans="1:21" ht="20.100000000000001" customHeight="1">
      <c r="A7" s="313">
        <v>0</v>
      </c>
      <c r="B7" s="314">
        <v>2023</v>
      </c>
      <c r="C7" s="488">
        <f>DATA!D8*DATA!D26*2</f>
        <v>880</v>
      </c>
      <c r="D7" s="316">
        <f>C7*4/24</f>
        <v>146.66666666666666</v>
      </c>
      <c r="E7" s="316">
        <f>C7-D7</f>
        <v>733.33333333333337</v>
      </c>
      <c r="F7" s="317">
        <f ca="1">DATA!D10/1000000</f>
        <v>36.725479207470833</v>
      </c>
      <c r="G7" s="318">
        <f ca="1">DATA!$D$11/1000000</f>
        <v>0.73450958414941669</v>
      </c>
      <c r="H7" s="318">
        <f>C7*DATA!$D$5/1000000</f>
        <v>0.95403004038019401</v>
      </c>
      <c r="I7" s="318">
        <f>(C7*DATA!$D$5*DATA!$D$7)/1000000</f>
        <v>2.1465675908554364E-2</v>
      </c>
      <c r="J7" s="316">
        <f ca="1">SUM(F7:I7)</f>
        <v>38.435484507908996</v>
      </c>
      <c r="K7" s="319">
        <f>DATA!D9/1000000</f>
        <v>10.659000000000001</v>
      </c>
      <c r="L7" s="316">
        <f>((D7*DATA!$D$23)/1000000)+((E7*DATA!$D$24)/1000000)</f>
        <v>1.271336</v>
      </c>
      <c r="M7" s="316">
        <f>K7+L7</f>
        <v>11.930336</v>
      </c>
      <c r="N7" s="316">
        <f ca="1">M7-J7</f>
        <v>-26.505148507908995</v>
      </c>
      <c r="O7" s="314">
        <v>1</v>
      </c>
      <c r="P7" s="316">
        <f ca="1">O7*N7</f>
        <v>-26.505148507908995</v>
      </c>
      <c r="Q7" s="316">
        <f ca="1">P7</f>
        <v>-26.505148507908995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0.73450958414941669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6.5874838818819068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1.0405321181180929</v>
      </c>
      <c r="O8" s="315">
        <f>1/(1+'[93]Asumsi I'!$C$3)^(KKF!A8)</f>
        <v>0.89285714285714279</v>
      </c>
      <c r="P8" s="316">
        <f ca="1">O8*N8</f>
        <v>0.92904653403401138</v>
      </c>
      <c r="Q8" s="316">
        <f ca="1">Q7+P8</f>
        <v>-25.576101973874984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0.73450958414941669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6.5874838818819068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1.0405321181180929</v>
      </c>
      <c r="O9" s="322">
        <f>1/(1+'[93]Asumsi I'!$C$3)^(KKF!A9)</f>
        <v>0.79719387755102034</v>
      </c>
      <c r="P9" s="316">
        <f t="shared" ref="P9:P32" ca="1" si="7">O9*N9</f>
        <v>0.82950583395893873</v>
      </c>
      <c r="Q9" s="316">
        <f ca="1">Q8+P9</f>
        <v>-24.746596139916043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0.73450958414941669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6.5874838818819068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1.0405321181180929</v>
      </c>
      <c r="O10" s="315">
        <f>1/(1+'[93]Asumsi I'!$C$3)^(KKF!A10)</f>
        <v>0.71178024781341087</v>
      </c>
      <c r="P10" s="316">
        <f t="shared" ca="1" si="7"/>
        <v>0.74063020889190945</v>
      </c>
      <c r="Q10" s="316">
        <f t="shared" ref="Q10:Q30" ca="1" si="9">Q9+P10</f>
        <v>-24.005965931024136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0.73450958414941669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6.5874838818819068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1.0405321181180929</v>
      </c>
      <c r="O11" s="315">
        <f>1/(1+'[93]Asumsi I'!$C$3)^(KKF!A11)</f>
        <v>0.63551807840483121</v>
      </c>
      <c r="P11" s="316">
        <f t="shared" ca="1" si="7"/>
        <v>0.66127697222491921</v>
      </c>
      <c r="Q11" s="316">
        <f t="shared" ca="1" si="9"/>
        <v>-23.344688958799217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0.73450958414941669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6.5874838818819068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1.0405321181180929</v>
      </c>
      <c r="O12" s="315">
        <f>1/(1+'[93]Asumsi I'!$C$3)^(KKF!A12)</f>
        <v>0.56742685571859919</v>
      </c>
      <c r="P12" s="316">
        <f t="shared" ca="1" si="7"/>
        <v>0.59042586805796349</v>
      </c>
      <c r="Q12" s="316">
        <f t="shared" ca="1" si="9"/>
        <v>-22.754263090741254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0.73450958414941669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6.5874838818819068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1.0405321181180929</v>
      </c>
      <c r="O13" s="315">
        <f>1/(1+'[93]Asumsi I'!$C$3)^(KKF!A13)</f>
        <v>0.50663112117732068</v>
      </c>
      <c r="P13" s="316">
        <f t="shared" ca="1" si="7"/>
        <v>0.52716595362318164</v>
      </c>
      <c r="Q13" s="316">
        <f t="shared" ca="1" si="9"/>
        <v>-22.227097137118072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0.73450958414941669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6.5874838818819068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1.0405321181180929</v>
      </c>
      <c r="O14" s="315">
        <f>1/(1+'[93]Asumsi I'!$C$3)^(KKF!A14)</f>
        <v>0.45234921533689343</v>
      </c>
      <c r="P14" s="316">
        <f t="shared" ca="1" si="7"/>
        <v>0.47068388716355503</v>
      </c>
      <c r="Q14" s="316">
        <f t="shared" ca="1" si="9"/>
        <v>-21.756413249954516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0.73450958414941669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6.5874838818819068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1.0405321181180929</v>
      </c>
      <c r="O15" s="315">
        <f>1/(1+'[93]Asumsi I'!$C$3)^(KKF!A15)</f>
        <v>0.4038832279793691</v>
      </c>
      <c r="P15" s="316">
        <f t="shared" ca="1" si="7"/>
        <v>0.42025347068174551</v>
      </c>
      <c r="Q15" s="316">
        <f t="shared" ca="1" si="9"/>
        <v>-21.336159779272769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0.73450958414941669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6.5874838818819068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1.0405321181180929</v>
      </c>
      <c r="O16" s="315">
        <f>1/(1+'[93]Asumsi I'!$C$3)^(KKF!A16)</f>
        <v>0.36061002498157957</v>
      </c>
      <c r="P16" s="316">
        <f t="shared" ca="1" si="7"/>
        <v>0.37522631310870136</v>
      </c>
      <c r="Q16" s="316">
        <f t="shared" ca="1" si="9"/>
        <v>-20.960933466164068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0.73450958414941669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6.5874838818819068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1.0405321181180929</v>
      </c>
      <c r="O17" s="315">
        <f>1/(1+'[93]Asumsi I'!$C$3)^(KKF!A17)</f>
        <v>0.32197323659069599</v>
      </c>
      <c r="P17" s="316">
        <f t="shared" ca="1" si="7"/>
        <v>0.33502349384705477</v>
      </c>
      <c r="Q17" s="316">
        <f t="shared" ca="1" si="9"/>
        <v>-20.625909972317015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0.73450958414941669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6.5874838818819068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1.0405321181180929</v>
      </c>
      <c r="O18" s="315">
        <f>1/(1+'[93]Asumsi I'!$C$3)^(KKF!A18)</f>
        <v>0.28747610409883567</v>
      </c>
      <c r="P18" s="316">
        <f t="shared" ca="1" si="7"/>
        <v>0.29912811950629886</v>
      </c>
      <c r="Q18" s="316">
        <f t="shared" ca="1" si="9"/>
        <v>-20.326781852810715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0.73450958414941669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6.5874838818819068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1.0405321181180929</v>
      </c>
      <c r="O19" s="315">
        <f>1/(1+'[93]Asumsi I'!$C$3)^(KKF!A19)</f>
        <v>0.25667509294538904</v>
      </c>
      <c r="P19" s="316">
        <f t="shared" ca="1" si="7"/>
        <v>0.26707867813062403</v>
      </c>
      <c r="Q19" s="316">
        <f t="shared" ca="1" si="9"/>
        <v>-20.059703174680092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0.73450958414941669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6.5874838818819068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1.0405321181180929</v>
      </c>
      <c r="O20" s="315">
        <f>1/(1+'[93]Asumsi I'!$C$3)^(KKF!A20)</f>
        <v>0.22917419012981158</v>
      </c>
      <c r="P20" s="316">
        <f t="shared" ca="1" si="7"/>
        <v>0.23846310547377136</v>
      </c>
      <c r="Q20" s="316">
        <f t="shared" ca="1" si="9"/>
        <v>-19.821240069206318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0.73450958414941669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6.5874838818819068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1.0405321181180929</v>
      </c>
      <c r="O21" s="315">
        <f>1/(1+'[93]Asumsi I'!$C$3)^(KKF!A21)</f>
        <v>0.20461981261590317</v>
      </c>
      <c r="P21" s="316">
        <f t="shared" ca="1" si="7"/>
        <v>0.212913487030153</v>
      </c>
      <c r="Q21" s="316">
        <f t="shared" ca="1" si="9"/>
        <v>-19.608326582176165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0.73450958414941669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6.5874838818819068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1.0405321181180929</v>
      </c>
      <c r="O22" s="315">
        <f>1/(1+'[93]Asumsi I'!$C$3)^(KKF!A22)</f>
        <v>0.18269626126419927</v>
      </c>
      <c r="P22" s="316">
        <f t="shared" ca="1" si="7"/>
        <v>0.19010132770549376</v>
      </c>
      <c r="Q22" s="316">
        <f t="shared" ca="1" si="9"/>
        <v>-19.41822525447067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0.73450958414941669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6.5874838818819068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1.0405321181180929</v>
      </c>
      <c r="O23" s="315">
        <f>1/(1+'[93]Asumsi I'!$C$3)^(KKF!A23)</f>
        <v>0.16312166184303503</v>
      </c>
      <c r="P23" s="316">
        <f t="shared" ca="1" si="7"/>
        <v>0.16973332830847654</v>
      </c>
      <c r="Q23" s="316">
        <f t="shared" ca="1" si="9"/>
        <v>-19.248491926162192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0.73450958414941669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6.5874838818819068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1.0405321181180929</v>
      </c>
      <c r="O24" s="315">
        <f>1/(1+'[93]Asumsi I'!$C$3)^(KKF!A24)</f>
        <v>0.14564434093128129</v>
      </c>
      <c r="P24" s="316">
        <f t="shared" ca="1" si="7"/>
        <v>0.15154761456113977</v>
      </c>
      <c r="Q24" s="316">
        <f t="shared" ca="1" si="9"/>
        <v>-19.096944311601053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0.73450958414941669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6.5874838818819068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1.0405321181180929</v>
      </c>
      <c r="O25" s="315">
        <f>1/(1+'[93]Asumsi I'!$C$3)^(KKF!A25)</f>
        <v>0.13003959011721541</v>
      </c>
      <c r="P25" s="316">
        <f t="shared" ca="1" si="7"/>
        <v>0.13531037014387479</v>
      </c>
      <c r="Q25" s="316">
        <f t="shared" ca="1" si="9"/>
        <v>-18.96163394145718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0.73450958414941669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6.5874838818819068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1.0405321181180929</v>
      </c>
      <c r="O26" s="315">
        <f>1/(1+'[93]Asumsi I'!$C$3)^(KKF!A26)</f>
        <v>0.1161067768903709</v>
      </c>
      <c r="P26" s="316">
        <f t="shared" ca="1" si="7"/>
        <v>0.12081283048560247</v>
      </c>
      <c r="Q26" s="316">
        <f t="shared" ca="1" si="9"/>
        <v>-18.840821110971579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0.73450958414941669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6.5874838818819068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1.0405321181180929</v>
      </c>
      <c r="O27" s="315">
        <f>1/(1+'[93]Asumsi I'!$C$3)^(KKF!A27)</f>
        <v>0.1036667650806883</v>
      </c>
      <c r="P27" s="316">
        <f t="shared" ca="1" si="7"/>
        <v>0.10786859864785935</v>
      </c>
      <c r="Q27" s="316">
        <f t="shared" ca="1" si="9"/>
        <v>-18.73295251232372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0.73450958414941669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6.5874838818819068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1.0405321181180929</v>
      </c>
      <c r="O28" s="315">
        <f>1/(1+'[93]Asumsi I'!$C$3)^(KKF!A28)</f>
        <v>9.2559611679185971E-2</v>
      </c>
      <c r="P28" s="316">
        <f t="shared" ca="1" si="7"/>
        <v>9.6311248792731549E-2</v>
      </c>
      <c r="Q28" s="316">
        <f t="shared" ca="1" si="9"/>
        <v>-18.63664126353099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0.73450958414941669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6.5874838818819068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1.0405321181180929</v>
      </c>
      <c r="O29" s="315">
        <f>1/(1+'[93]Asumsi I'!$C$3)^(KKF!A29)</f>
        <v>8.2642510427844609E-2</v>
      </c>
      <c r="P29" s="316">
        <f t="shared" ca="1" si="7"/>
        <v>8.5992186422081729E-2</v>
      </c>
      <c r="Q29" s="316">
        <f t="shared" ca="1" si="9"/>
        <v>-18.550649077108908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0.73450958414941669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6.5874838818819068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1.0405321181180929</v>
      </c>
      <c r="O30" s="315">
        <f>1/(1+'[93]Asumsi I'!$C$3)^(KKF!A30)</f>
        <v>7.3787955739146982E-2</v>
      </c>
      <c r="P30" s="316">
        <f t="shared" ca="1" si="7"/>
        <v>7.6778737876858696E-2</v>
      </c>
      <c r="Q30" s="316">
        <f t="shared" ca="1" si="9"/>
        <v>-18.47387033923205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0.73450958414941669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6.5874838818819068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1.0405321181180929</v>
      </c>
      <c r="O31" s="315">
        <f>1/(1+'[93]Asumsi I'!$C$3)^(KKF!A31)</f>
        <v>6.5882103338524081E-2</v>
      </c>
      <c r="P31" s="316">
        <f t="shared" ca="1" si="7"/>
        <v>6.855244453290954E-2</v>
      </c>
      <c r="Q31" s="316">
        <f ca="1">Q30+P31</f>
        <v>-18.405317894699142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0.73450958414941669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6.5874838818819068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1.0405321181180929</v>
      </c>
      <c r="O32" s="315">
        <f>1/(1+'[93]Asumsi I'!$C$3)^(KKF!A32)</f>
        <v>5.8823306552253637E-2</v>
      </c>
      <c r="P32" s="316">
        <f t="shared" ca="1" si="7"/>
        <v>6.1207539761526368E-2</v>
      </c>
      <c r="Q32" s="316">
        <f ca="1">Q31+P32</f>
        <v>-18.344110354937616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3" t="s">
        <v>1374</v>
      </c>
      <c r="G33" s="613"/>
      <c r="H33" s="613"/>
      <c r="I33" s="324"/>
      <c r="J33" s="325">
        <f ca="1">SUM(J7:J32)</f>
        <v>203.12258155495655</v>
      </c>
      <c r="K33" s="613" t="s">
        <v>1375</v>
      </c>
      <c r="L33" s="613"/>
      <c r="M33" s="325">
        <f>SUM(M7:M32)</f>
        <v>202.63073600000004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36.938297087285918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0.9975785776687589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-16.37866995976573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-1.4356815790983468E-3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83"/>
  <sheetViews>
    <sheetView showGridLines="0" zoomScale="70" zoomScaleNormal="70" zoomScaleSheetLayoutView="70" workbookViewId="0">
      <pane ySplit="13" topLeftCell="A73" activePane="bottomLeft" state="frozen"/>
      <selection activeCell="H1093" sqref="H1093"/>
      <selection pane="bottomLeft" activeCell="I80" sqref="I80:K80"/>
    </sheetView>
  </sheetViews>
  <sheetFormatPr defaultRowHeight="15"/>
  <cols>
    <col min="1" max="1" width="8.28515625" style="336" customWidth="1"/>
    <col min="2" max="2" width="5.140625" style="337" customWidth="1"/>
    <col min="3" max="3" width="45.7109375" style="418" customWidth="1"/>
    <col min="4" max="4" width="13.7109375" style="418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1439</v>
      </c>
      <c r="D3" s="339"/>
      <c r="O3" s="616" t="s">
        <v>1036</v>
      </c>
      <c r="P3" s="616"/>
      <c r="Q3" s="346"/>
      <c r="T3" s="344"/>
      <c r="U3" s="345" t="s">
        <v>1041</v>
      </c>
      <c r="V3" s="344"/>
    </row>
    <row r="4" spans="1:22" ht="15.75" customHeight="1">
      <c r="B4" s="617" t="s">
        <v>1023</v>
      </c>
      <c r="C4" s="617"/>
      <c r="D4" s="617"/>
      <c r="E4" s="617"/>
      <c r="F4" s="617"/>
      <c r="G4" s="617"/>
      <c r="H4" s="617"/>
      <c r="I4" s="617"/>
      <c r="J4" s="617"/>
      <c r="K4" s="617"/>
      <c r="O4" s="616"/>
      <c r="P4" s="616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3" t="str">
        <f>DATA!D14</f>
        <v>HERI SISWANTO</v>
      </c>
      <c r="H6" s="633"/>
      <c r="I6" s="633"/>
      <c r="J6" s="633"/>
      <c r="K6" s="633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1621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1551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9" t="s">
        <v>0</v>
      </c>
      <c r="C11" s="621" t="s">
        <v>1</v>
      </c>
      <c r="D11" s="624" t="s">
        <v>42</v>
      </c>
      <c r="E11" s="624" t="s">
        <v>43</v>
      </c>
      <c r="F11" s="624" t="s">
        <v>2</v>
      </c>
      <c r="G11" s="626" t="s">
        <v>41</v>
      </c>
      <c r="H11" s="624" t="s">
        <v>3</v>
      </c>
      <c r="I11" s="624"/>
      <c r="J11" s="624"/>
      <c r="K11" s="643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0"/>
      <c r="C12" s="622"/>
      <c r="D12" s="625"/>
      <c r="E12" s="625"/>
      <c r="F12" s="625"/>
      <c r="G12" s="627"/>
      <c r="H12" s="629" t="s">
        <v>46</v>
      </c>
      <c r="I12" s="629" t="s">
        <v>5</v>
      </c>
      <c r="J12" s="625" t="s">
        <v>47</v>
      </c>
      <c r="K12" s="644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0"/>
      <c r="C13" s="623"/>
      <c r="D13" s="625"/>
      <c r="E13" s="625"/>
      <c r="F13" s="625"/>
      <c r="G13" s="628"/>
      <c r="H13" s="630"/>
      <c r="I13" s="630"/>
      <c r="J13" s="625"/>
      <c r="K13" s="644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1454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7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18" ca="1" si="8">IF(OR(D16="MDU",D16="MDU-KD"),(IF($O$3="RAB NON MDU","PLN KD",G16*F16)),0)</f>
        <v>0</v>
      </c>
      <c r="I16" s="361">
        <f t="shared" ref="I16:I18" ca="1" si="9">IF(D16="HDW",G16*F16,0)</f>
        <v>0</v>
      </c>
      <c r="J16" s="361">
        <f t="shared" ref="J16:J18" ca="1" si="10">IF(D16="JASA",G16*F16,0)</f>
        <v>0</v>
      </c>
      <c r="K16" s="362">
        <f t="shared" ref="K16:K18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 t="e">
        <f>IF(AND(C17=0,#REF!=0,#REF!=0),"BLANKS",1)</f>
        <v>#REF!</v>
      </c>
      <c r="B17" s="372" t="s">
        <v>1455</v>
      </c>
      <c r="C17" s="373" t="s">
        <v>1456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71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 t="e">
        <f>IF(AND(C18=0,#REF!=0,#REF!=0),"BLANKS",1)</f>
        <v>#REF!</v>
      </c>
      <c r="B18" s="374"/>
      <c r="C18" s="375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76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8"/>
        <v>0</v>
      </c>
      <c r="I18" s="361">
        <f t="shared" ca="1" si="9"/>
        <v>0</v>
      </c>
      <c r="J18" s="361">
        <f t="shared" ca="1" si="10"/>
        <v>0</v>
      </c>
      <c r="K18" s="362">
        <f t="shared" ca="1" si="11"/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65" customFormat="1">
      <c r="A19" s="336"/>
      <c r="B19" s="378" t="s">
        <v>1549</v>
      </c>
      <c r="C19" s="379" t="s">
        <v>1614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76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:H53" ca="1" si="12">IF(OR(D19="MDU",D19="MDU-KD"),(IF($O$3="RAB NON MDU","PLN KD",G19*F19)),0)</f>
        <v>0</v>
      </c>
      <c r="I19" s="361">
        <f t="shared" ref="I19:I53" ca="1" si="13">IF(D19="HDW",G19*F19,0)</f>
        <v>0</v>
      </c>
      <c r="J19" s="361">
        <f t="shared" ref="J19:J53" ca="1" si="14">IF(D19="JASA",G19*F19,0)</f>
        <v>0</v>
      </c>
      <c r="K19" s="362">
        <f t="shared" ref="K19:K53" ca="1" si="15">SUM(H19:J19)</f>
        <v>0</v>
      </c>
      <c r="L19" s="342"/>
      <c r="M19" s="342"/>
      <c r="N19" s="369"/>
      <c r="O19" s="344"/>
      <c r="P19" s="344"/>
      <c r="Q19" s="403"/>
      <c r="R19" s="344"/>
      <c r="S19" s="403"/>
      <c r="T19" s="404"/>
      <c r="U19" s="404"/>
      <c r="V19" s="404"/>
    </row>
    <row r="20" spans="1:22" s="365" customFormat="1">
      <c r="A20" s="336"/>
      <c r="B20" s="378"/>
      <c r="C20" s="379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76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12"/>
        <v>0</v>
      </c>
      <c r="I20" s="361">
        <f t="shared" ca="1" si="13"/>
        <v>0</v>
      </c>
      <c r="J20" s="361">
        <f t="shared" ca="1" si="14"/>
        <v>0</v>
      </c>
      <c r="K20" s="362">
        <f t="shared" ca="1" si="15"/>
        <v>0</v>
      </c>
      <c r="L20" s="342"/>
      <c r="M20" s="342"/>
      <c r="N20" s="369"/>
      <c r="O20" s="344"/>
      <c r="P20" s="344"/>
      <c r="Q20" s="403"/>
      <c r="R20" s="344"/>
      <c r="S20" s="403"/>
      <c r="T20" s="404"/>
      <c r="U20" s="404"/>
      <c r="V20" s="404"/>
    </row>
    <row r="21" spans="1:22" s="365" customFormat="1">
      <c r="A21" s="336"/>
      <c r="B21" s="508" t="s">
        <v>1035</v>
      </c>
      <c r="C21" s="509" t="s">
        <v>1615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23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342"/>
      <c r="M21" s="342"/>
      <c r="N21" s="369"/>
      <c r="O21" s="344"/>
      <c r="P21" s="344"/>
      <c r="Q21" s="403"/>
      <c r="R21" s="344"/>
      <c r="S21" s="403"/>
      <c r="T21" s="404"/>
      <c r="U21" s="404"/>
      <c r="V21" s="404"/>
    </row>
    <row r="22" spans="1:22" s="365" customFormat="1">
      <c r="A22" s="336"/>
      <c r="B22" s="508">
        <v>1</v>
      </c>
      <c r="C22" s="510" t="s">
        <v>532</v>
      </c>
      <c r="D22" s="358" t="str">
        <f ca="1">IF(ISERROR(OFFSET('HARGA SATUAN'!$D$6,MATCH(RAB!C22,'HARGA SATUAN'!$C$7:$C$1492,0),0)),"",OFFSET('HARGA SATUAN'!$D$6,MATCH(RAB!C22,'HARGA SATUAN'!$C$7:$C$1492,0),0))</f>
        <v>MDU-KD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516">
        <v>1</v>
      </c>
      <c r="G22" s="360">
        <f ca="1">IF(ISERROR(OFFSET('HARGA SATUAN'!$I$6,MATCH(RAB!C22,'HARGA SATUAN'!$C$7:$C$1492,0),0)),0,OFFSET('HARGA SATUAN'!$I$6,MATCH(RAB!C22,'HARGA SATUAN'!$C$7:$C$1492,0),0))</f>
        <v>27845400</v>
      </c>
      <c r="H22" s="361">
        <f t="shared" ca="1" si="12"/>
        <v>27845400</v>
      </c>
      <c r="I22" s="361">
        <f t="shared" ca="1" si="13"/>
        <v>0</v>
      </c>
      <c r="J22" s="361">
        <f t="shared" ca="1" si="14"/>
        <v>0</v>
      </c>
      <c r="K22" s="362">
        <f t="shared" ca="1" si="15"/>
        <v>27845400</v>
      </c>
      <c r="L22" s="342"/>
      <c r="M22" s="342"/>
      <c r="N22" s="369"/>
      <c r="O22" s="344"/>
      <c r="P22" s="344"/>
      <c r="Q22" s="403"/>
      <c r="R22" s="344"/>
      <c r="S22" s="403"/>
      <c r="T22" s="404"/>
      <c r="U22" s="404"/>
      <c r="V22" s="404"/>
    </row>
    <row r="23" spans="1:22" s="365" customFormat="1">
      <c r="A23" s="336"/>
      <c r="B23" s="511">
        <v>2</v>
      </c>
      <c r="C23" s="510" t="s">
        <v>1616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16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  <c r="L23" s="342"/>
      <c r="M23" s="342"/>
      <c r="N23" s="369"/>
      <c r="O23" s="344"/>
      <c r="P23" s="344"/>
      <c r="Q23" s="403"/>
      <c r="R23" s="344"/>
      <c r="S23" s="403"/>
      <c r="T23" s="404"/>
      <c r="U23" s="404"/>
      <c r="V23" s="404"/>
    </row>
    <row r="24" spans="1:22" s="365" customFormat="1">
      <c r="A24" s="336"/>
      <c r="B24" s="511"/>
      <c r="C24" s="510" t="s">
        <v>65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516">
        <v>2</v>
      </c>
      <c r="G24" s="360">
        <f ca="1">IF(ISERROR(OFFSET('HARGA SATUAN'!$I$6,MATCH(RAB!C24,'HARGA SATUAN'!$C$7:$C$1492,0),0)),0,OFFSET('HARGA SATUAN'!$I$6,MATCH(RAB!C24,'HARGA SATUAN'!$C$7:$C$1492,0),0))</f>
        <v>14200</v>
      </c>
      <c r="H24" s="361">
        <f t="shared" ca="1" si="12"/>
        <v>28400</v>
      </c>
      <c r="I24" s="361">
        <f t="shared" ca="1" si="13"/>
        <v>0</v>
      </c>
      <c r="J24" s="361">
        <f t="shared" ca="1" si="14"/>
        <v>0</v>
      </c>
      <c r="K24" s="362">
        <f t="shared" ca="1" si="15"/>
        <v>28400</v>
      </c>
      <c r="L24" s="342"/>
      <c r="M24" s="342"/>
      <c r="N24" s="369"/>
      <c r="O24" s="344"/>
      <c r="P24" s="344"/>
      <c r="Q24" s="403"/>
      <c r="R24" s="344"/>
      <c r="S24" s="403"/>
      <c r="T24" s="404"/>
      <c r="U24" s="404"/>
      <c r="V24" s="404"/>
    </row>
    <row r="25" spans="1:22" s="365" customFormat="1">
      <c r="A25" s="336"/>
      <c r="B25" s="508"/>
      <c r="C25" s="109" t="s">
        <v>1402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16">
        <v>2</v>
      </c>
      <c r="G25" s="360">
        <f ca="1">IF(ISERROR(OFFSET('HARGA SATUAN'!$I$6,MATCH(RAB!C25,'HARGA SATUAN'!$C$7:$C$1492,0),0)),0,OFFSET('HARGA SATUAN'!$I$6,MATCH(RAB!C25,'HARGA SATUAN'!$C$7:$C$1492,0),0))</f>
        <v>53300</v>
      </c>
      <c r="H25" s="361">
        <f t="shared" ca="1" si="12"/>
        <v>106600</v>
      </c>
      <c r="I25" s="361">
        <f t="shared" ca="1" si="13"/>
        <v>0</v>
      </c>
      <c r="J25" s="361">
        <f t="shared" ca="1" si="14"/>
        <v>0</v>
      </c>
      <c r="K25" s="362">
        <f t="shared" ca="1" si="15"/>
        <v>106600</v>
      </c>
      <c r="L25" s="342"/>
      <c r="M25" s="342"/>
      <c r="N25" s="369"/>
      <c r="O25" s="344"/>
      <c r="P25" s="344"/>
      <c r="Q25" s="403"/>
      <c r="R25" s="344"/>
      <c r="S25" s="403"/>
      <c r="T25" s="404"/>
      <c r="U25" s="404"/>
      <c r="V25" s="404"/>
    </row>
    <row r="26" spans="1:22" s="365" customFormat="1">
      <c r="A26" s="336"/>
      <c r="B26" s="508">
        <v>3</v>
      </c>
      <c r="C26" s="510" t="s">
        <v>207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16">
        <v>1</v>
      </c>
      <c r="G26" s="360">
        <f ca="1">IF(ISERROR(OFFSET('HARGA SATUAN'!$I$6,MATCH(RAB!C26,'HARGA SATUAN'!$C$7:$C$1492,0),0)),0,OFFSET('HARGA SATUAN'!$I$6,MATCH(RAB!C26,'HARGA SATUAN'!$C$7:$C$1492,0),0))</f>
        <v>87000</v>
      </c>
      <c r="H26" s="361">
        <f t="shared" ca="1" si="12"/>
        <v>0</v>
      </c>
      <c r="I26" s="361">
        <f t="shared" ca="1" si="13"/>
        <v>87000</v>
      </c>
      <c r="J26" s="361">
        <f t="shared" ca="1" si="14"/>
        <v>0</v>
      </c>
      <c r="K26" s="362">
        <f t="shared" ca="1" si="15"/>
        <v>87000</v>
      </c>
      <c r="L26" s="342"/>
      <c r="M26" s="342"/>
      <c r="N26" s="369"/>
      <c r="O26" s="344"/>
      <c r="P26" s="344"/>
      <c r="Q26" s="403"/>
      <c r="R26" s="344"/>
      <c r="S26" s="403"/>
      <c r="T26" s="404"/>
      <c r="U26" s="404"/>
      <c r="V26" s="404"/>
    </row>
    <row r="27" spans="1:22" s="365" customFormat="1" ht="30">
      <c r="A27" s="336"/>
      <c r="B27" s="508">
        <v>4</v>
      </c>
      <c r="C27" s="510" t="s">
        <v>176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16">
        <v>2</v>
      </c>
      <c r="G27" s="360">
        <f ca="1">IF(ISERROR(OFFSET('HARGA SATUAN'!$I$6,MATCH(RAB!C27,'HARGA SATUAN'!$C$7:$C$1492,0),0)),0,OFFSET('HARGA SATUAN'!$I$6,MATCH(RAB!C27,'HARGA SATUAN'!$C$7:$C$1492,0),0))</f>
        <v>404600</v>
      </c>
      <c r="H27" s="361">
        <f t="shared" ca="1" si="12"/>
        <v>0</v>
      </c>
      <c r="I27" s="361">
        <f t="shared" ca="1" si="13"/>
        <v>809200</v>
      </c>
      <c r="J27" s="361">
        <f t="shared" ca="1" si="14"/>
        <v>0</v>
      </c>
      <c r="K27" s="362">
        <f t="shared" ca="1" si="15"/>
        <v>809200</v>
      </c>
      <c r="L27" s="342"/>
      <c r="M27" s="342"/>
      <c r="N27" s="369"/>
      <c r="O27" s="344"/>
      <c r="P27" s="344"/>
      <c r="Q27" s="403"/>
      <c r="R27" s="344"/>
      <c r="S27" s="403"/>
      <c r="T27" s="404"/>
      <c r="U27" s="404"/>
      <c r="V27" s="404"/>
    </row>
    <row r="28" spans="1:22" s="365" customFormat="1">
      <c r="A28" s="336"/>
      <c r="B28" s="508">
        <v>5</v>
      </c>
      <c r="C28" s="510" t="s">
        <v>184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16">
        <v>3</v>
      </c>
      <c r="G28" s="360">
        <f ca="1">IF(ISERROR(OFFSET('HARGA SATUAN'!$I$6,MATCH(RAB!C28,'HARGA SATUAN'!$C$7:$C$1492,0),0)),0,OFFSET('HARGA SATUAN'!$I$6,MATCH(RAB!C28,'HARGA SATUAN'!$C$7:$C$1492,0),0))</f>
        <v>15900</v>
      </c>
      <c r="H28" s="361">
        <f t="shared" ca="1" si="12"/>
        <v>0</v>
      </c>
      <c r="I28" s="361">
        <f t="shared" ca="1" si="13"/>
        <v>47700</v>
      </c>
      <c r="J28" s="361">
        <f t="shared" ca="1" si="14"/>
        <v>0</v>
      </c>
      <c r="K28" s="362">
        <f t="shared" ca="1" si="15"/>
        <v>47700</v>
      </c>
      <c r="L28" s="342"/>
      <c r="M28" s="342"/>
      <c r="N28" s="369"/>
      <c r="O28" s="344"/>
      <c r="P28" s="344"/>
      <c r="Q28" s="403"/>
      <c r="R28" s="344"/>
      <c r="S28" s="403"/>
      <c r="T28" s="404"/>
      <c r="U28" s="404"/>
      <c r="V28" s="404"/>
    </row>
    <row r="29" spans="1:22" s="365" customFormat="1">
      <c r="A29" s="336"/>
      <c r="B29" s="508">
        <v>6</v>
      </c>
      <c r="C29" s="510" t="s">
        <v>187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16">
        <v>2</v>
      </c>
      <c r="G29" s="360">
        <f ca="1">IF(ISERROR(OFFSET('HARGA SATUAN'!$I$6,MATCH(RAB!C29,'HARGA SATUAN'!$C$7:$C$1492,0),0)),0,OFFSET('HARGA SATUAN'!$I$6,MATCH(RAB!C29,'HARGA SATUAN'!$C$7:$C$1492,0),0))</f>
        <v>17100</v>
      </c>
      <c r="H29" s="361">
        <f t="shared" ca="1" si="12"/>
        <v>0</v>
      </c>
      <c r="I29" s="361">
        <f t="shared" ca="1" si="13"/>
        <v>34200</v>
      </c>
      <c r="J29" s="361">
        <f t="shared" ca="1" si="14"/>
        <v>0</v>
      </c>
      <c r="K29" s="362">
        <f t="shared" ca="1" si="15"/>
        <v>34200</v>
      </c>
      <c r="L29" s="342"/>
      <c r="M29" s="342"/>
      <c r="N29" s="369"/>
      <c r="O29" s="344"/>
      <c r="P29" s="344"/>
      <c r="Q29" s="403"/>
      <c r="R29" s="344"/>
      <c r="S29" s="403"/>
      <c r="T29" s="404"/>
      <c r="U29" s="404"/>
      <c r="V29" s="404"/>
    </row>
    <row r="30" spans="1:22" s="365" customFormat="1">
      <c r="A30" s="336"/>
      <c r="B30" s="508">
        <v>7</v>
      </c>
      <c r="C30" s="109" t="s">
        <v>1569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16">
        <v>4</v>
      </c>
      <c r="G30" s="360">
        <f ca="1">IF(ISERROR(OFFSET('HARGA SATUAN'!$I$6,MATCH(RAB!C30,'HARGA SATUAN'!$C$7:$C$1492,0),0)),0,OFFSET('HARGA SATUAN'!$I$6,MATCH(RAB!C30,'HARGA SATUAN'!$C$7:$C$1492,0),0))</f>
        <v>49000</v>
      </c>
      <c r="H30" s="361">
        <f t="shared" ca="1" si="12"/>
        <v>0</v>
      </c>
      <c r="I30" s="361">
        <f t="shared" ca="1" si="13"/>
        <v>196000</v>
      </c>
      <c r="J30" s="361">
        <f t="shared" ca="1" si="14"/>
        <v>0</v>
      </c>
      <c r="K30" s="362">
        <f t="shared" ca="1" si="15"/>
        <v>196000</v>
      </c>
      <c r="L30" s="342"/>
      <c r="M30" s="342"/>
      <c r="N30" s="369"/>
      <c r="O30" s="344"/>
      <c r="P30" s="344"/>
      <c r="Q30" s="403"/>
      <c r="R30" s="344"/>
      <c r="S30" s="403"/>
      <c r="T30" s="404"/>
      <c r="U30" s="404"/>
      <c r="V30" s="404"/>
    </row>
    <row r="31" spans="1:22" s="365" customFormat="1">
      <c r="A31" s="336"/>
      <c r="B31" s="508">
        <v>8</v>
      </c>
      <c r="C31" s="510" t="s">
        <v>149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Set</v>
      </c>
      <c r="F31" s="516">
        <v>1</v>
      </c>
      <c r="G31" s="360">
        <f ca="1">IF(ISERROR(OFFSET('HARGA SATUAN'!$I$6,MATCH(RAB!C31,'HARGA SATUAN'!$C$7:$C$1492,0),0)),0,OFFSET('HARGA SATUAN'!$I$6,MATCH(RAB!C31,'HARGA SATUAN'!$C$7:$C$1492,0),0))</f>
        <v>67800</v>
      </c>
      <c r="H31" s="361">
        <f t="shared" ca="1" si="12"/>
        <v>0</v>
      </c>
      <c r="I31" s="361">
        <f t="shared" ca="1" si="13"/>
        <v>67800</v>
      </c>
      <c r="J31" s="361">
        <f t="shared" ca="1" si="14"/>
        <v>0</v>
      </c>
      <c r="K31" s="362">
        <f t="shared" ca="1" si="15"/>
        <v>67800</v>
      </c>
      <c r="L31" s="342"/>
      <c r="M31" s="342"/>
      <c r="N31" s="369"/>
      <c r="O31" s="344"/>
      <c r="P31" s="344"/>
      <c r="Q31" s="403"/>
      <c r="R31" s="344"/>
      <c r="S31" s="403"/>
      <c r="T31" s="404"/>
      <c r="U31" s="404"/>
      <c r="V31" s="404"/>
    </row>
    <row r="32" spans="1:22" s="365" customFormat="1">
      <c r="A32" s="336"/>
      <c r="B32" s="508">
        <v>9</v>
      </c>
      <c r="C32" s="510" t="s">
        <v>32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516">
        <v>2</v>
      </c>
      <c r="G32" s="360">
        <f ca="1">IF(ISERROR(OFFSET('HARGA SATUAN'!$I$6,MATCH(RAB!C32,'HARGA SATUAN'!$C$7:$C$1492,0),0)),0,OFFSET('HARGA SATUAN'!$I$6,MATCH(RAB!C32,'HARGA SATUAN'!$C$7:$C$1492,0),0))</f>
        <v>30000</v>
      </c>
      <c r="H32" s="361">
        <f t="shared" ca="1" si="12"/>
        <v>0</v>
      </c>
      <c r="I32" s="361">
        <f t="shared" ca="1" si="13"/>
        <v>60000</v>
      </c>
      <c r="J32" s="361">
        <f t="shared" ca="1" si="14"/>
        <v>0</v>
      </c>
      <c r="K32" s="362">
        <f t="shared" ca="1" si="15"/>
        <v>60000</v>
      </c>
      <c r="L32" s="342"/>
      <c r="M32" s="342"/>
      <c r="N32" s="369"/>
      <c r="O32" s="344"/>
      <c r="P32" s="344"/>
      <c r="Q32" s="403"/>
      <c r="R32" s="344"/>
      <c r="S32" s="403"/>
      <c r="T32" s="404"/>
      <c r="U32" s="404"/>
      <c r="V32" s="404"/>
    </row>
    <row r="33" spans="1:22" s="365" customFormat="1">
      <c r="A33" s="336"/>
      <c r="B33" s="508">
        <v>10</v>
      </c>
      <c r="C33" s="510" t="s">
        <v>781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516">
        <v>1</v>
      </c>
      <c r="G33" s="360">
        <f ca="1">IF(ISERROR(OFFSET('HARGA SATUAN'!$I$6,MATCH(RAB!C33,'HARGA SATUAN'!$C$7:$C$1492,0),0)),0,OFFSET('HARGA SATUAN'!$I$6,MATCH(RAB!C33,'HARGA SATUAN'!$C$7:$C$1492,0),0))</f>
        <v>346400</v>
      </c>
      <c r="H33" s="361">
        <f t="shared" ca="1" si="12"/>
        <v>0</v>
      </c>
      <c r="I33" s="361">
        <f t="shared" ca="1" si="13"/>
        <v>0</v>
      </c>
      <c r="J33" s="361">
        <f t="shared" ca="1" si="14"/>
        <v>346400</v>
      </c>
      <c r="K33" s="362">
        <f t="shared" ca="1" si="15"/>
        <v>346400</v>
      </c>
      <c r="L33" s="342"/>
      <c r="M33" s="342"/>
      <c r="N33" s="369"/>
      <c r="O33" s="344"/>
      <c r="P33" s="344"/>
      <c r="Q33" s="403"/>
      <c r="R33" s="344"/>
      <c r="S33" s="403"/>
      <c r="T33" s="404"/>
      <c r="U33" s="404"/>
      <c r="V33" s="404"/>
    </row>
    <row r="34" spans="1:22" s="365" customFormat="1">
      <c r="A34" s="336"/>
      <c r="B34" s="512"/>
      <c r="C34" s="513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368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12"/>
        <v>0</v>
      </c>
      <c r="I34" s="361">
        <f t="shared" ca="1" si="13"/>
        <v>0</v>
      </c>
      <c r="J34" s="361">
        <f t="shared" ca="1" si="14"/>
        <v>0</v>
      </c>
      <c r="K34" s="362">
        <f t="shared" ca="1" si="15"/>
        <v>0</v>
      </c>
      <c r="L34" s="342"/>
      <c r="M34" s="342"/>
      <c r="N34" s="369"/>
      <c r="O34" s="344"/>
      <c r="P34" s="344"/>
      <c r="Q34" s="403"/>
      <c r="R34" s="344"/>
      <c r="S34" s="403"/>
      <c r="T34" s="404"/>
      <c r="U34" s="404"/>
      <c r="V34" s="404"/>
    </row>
    <row r="35" spans="1:22" s="365" customFormat="1">
      <c r="A35" s="336"/>
      <c r="B35" s="511" t="s">
        <v>1035</v>
      </c>
      <c r="C35" s="514" t="s">
        <v>1617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489">
        <v>1</v>
      </c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12"/>
        <v>0</v>
      </c>
      <c r="I35" s="361">
        <f t="shared" ca="1" si="13"/>
        <v>0</v>
      </c>
      <c r="J35" s="361">
        <f t="shared" ca="1" si="14"/>
        <v>0</v>
      </c>
      <c r="K35" s="362">
        <f t="shared" ca="1" si="15"/>
        <v>0</v>
      </c>
      <c r="L35" s="342"/>
      <c r="M35" s="342"/>
      <c r="N35" s="369"/>
      <c r="O35" s="344"/>
      <c r="P35" s="344"/>
      <c r="Q35" s="403"/>
      <c r="R35" s="344"/>
      <c r="S35" s="403"/>
      <c r="T35" s="404"/>
      <c r="U35" s="404"/>
      <c r="V35" s="404"/>
    </row>
    <row r="36" spans="1:22" s="365" customFormat="1">
      <c r="A36" s="336"/>
      <c r="B36" s="511">
        <v>1</v>
      </c>
      <c r="C36" s="515" t="s">
        <v>29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89">
        <v>1</v>
      </c>
      <c r="G36" s="360">
        <f ca="1">IF(ISERROR(OFFSET('HARGA SATUAN'!$I$6,MATCH(RAB!C36,'HARGA SATUAN'!$C$7:$C$1492,0),0)),0,OFFSET('HARGA SATUAN'!$I$6,MATCH(RAB!C36,'HARGA SATUAN'!$C$7:$C$1492,0),0))</f>
        <v>185200</v>
      </c>
      <c r="H36" s="361">
        <f t="shared" ca="1" si="12"/>
        <v>0</v>
      </c>
      <c r="I36" s="361">
        <f t="shared" ca="1" si="13"/>
        <v>185200</v>
      </c>
      <c r="J36" s="361">
        <f t="shared" ca="1" si="14"/>
        <v>0</v>
      </c>
      <c r="K36" s="362">
        <f t="shared" ca="1" si="15"/>
        <v>185200</v>
      </c>
      <c r="L36" s="342"/>
      <c r="M36" s="342"/>
      <c r="N36" s="369"/>
      <c r="O36" s="344"/>
      <c r="P36" s="344"/>
      <c r="Q36" s="403"/>
      <c r="R36" s="344"/>
      <c r="S36" s="403"/>
      <c r="T36" s="404"/>
      <c r="U36" s="404"/>
      <c r="V36" s="404"/>
    </row>
    <row r="37" spans="1:22" s="365" customFormat="1">
      <c r="A37" s="336"/>
      <c r="B37" s="508">
        <v>2</v>
      </c>
      <c r="C37" s="509" t="s">
        <v>30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89">
        <v>1</v>
      </c>
      <c r="G37" s="360">
        <f ca="1">IF(ISERROR(OFFSET('HARGA SATUAN'!$I$6,MATCH(RAB!C37,'HARGA SATUAN'!$C$7:$C$1492,0),0)),0,OFFSET('HARGA SATUAN'!$I$6,MATCH(RAB!C37,'HARGA SATUAN'!$C$7:$C$1492,0),0))</f>
        <v>47459</v>
      </c>
      <c r="H37" s="361">
        <f t="shared" ca="1" si="12"/>
        <v>0</v>
      </c>
      <c r="I37" s="361">
        <f t="shared" ca="1" si="13"/>
        <v>47459</v>
      </c>
      <c r="J37" s="361">
        <f t="shared" ca="1" si="14"/>
        <v>0</v>
      </c>
      <c r="K37" s="362">
        <f t="shared" ca="1" si="15"/>
        <v>47459</v>
      </c>
      <c r="L37" s="342"/>
      <c r="M37" s="342"/>
      <c r="N37" s="369"/>
      <c r="O37" s="344"/>
      <c r="P37" s="344"/>
      <c r="Q37" s="403"/>
      <c r="R37" s="344"/>
      <c r="S37" s="403"/>
      <c r="T37" s="404"/>
      <c r="U37" s="404"/>
      <c r="V37" s="404"/>
    </row>
    <row r="38" spans="1:22" s="365" customFormat="1">
      <c r="A38" s="336"/>
      <c r="B38" s="508">
        <v>3</v>
      </c>
      <c r="C38" s="509" t="s">
        <v>31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89">
        <v>1</v>
      </c>
      <c r="G38" s="360">
        <f ca="1">IF(ISERROR(OFFSET('HARGA SATUAN'!$I$6,MATCH(RAB!C38,'HARGA SATUAN'!$C$7:$C$1492,0),0)),0,OFFSET('HARGA SATUAN'!$I$6,MATCH(RAB!C38,'HARGA SATUAN'!$C$7:$C$1492,0),0))</f>
        <v>4880</v>
      </c>
      <c r="H38" s="361">
        <f t="shared" ca="1" si="12"/>
        <v>0</v>
      </c>
      <c r="I38" s="361">
        <f t="shared" ca="1" si="13"/>
        <v>4880</v>
      </c>
      <c r="J38" s="361">
        <f t="shared" ca="1" si="14"/>
        <v>0</v>
      </c>
      <c r="K38" s="362">
        <f t="shared" ca="1" si="15"/>
        <v>4880</v>
      </c>
      <c r="L38" s="342"/>
      <c r="M38" s="342"/>
      <c r="N38" s="369"/>
      <c r="O38" s="344"/>
      <c r="P38" s="344"/>
      <c r="Q38" s="403"/>
      <c r="R38" s="344"/>
      <c r="S38" s="403"/>
      <c r="T38" s="404"/>
      <c r="U38" s="404"/>
      <c r="V38" s="404"/>
    </row>
    <row r="39" spans="1:22" s="365" customFormat="1">
      <c r="A39" s="336"/>
      <c r="B39" s="508">
        <v>4</v>
      </c>
      <c r="C39" s="509" t="s">
        <v>32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489">
        <v>10</v>
      </c>
      <c r="G39" s="360">
        <f ca="1">IF(ISERROR(OFFSET('HARGA SATUAN'!$I$6,MATCH(RAB!C39,'HARGA SATUAN'!$C$7:$C$1492,0),0)),0,OFFSET('HARGA SATUAN'!$I$6,MATCH(RAB!C39,'HARGA SATUAN'!$C$7:$C$1492,0),0))</f>
        <v>30000</v>
      </c>
      <c r="H39" s="361">
        <f t="shared" ca="1" si="12"/>
        <v>0</v>
      </c>
      <c r="I39" s="361">
        <f t="shared" ca="1" si="13"/>
        <v>300000</v>
      </c>
      <c r="J39" s="361">
        <f t="shared" ca="1" si="14"/>
        <v>0</v>
      </c>
      <c r="K39" s="362">
        <f t="shared" ca="1" si="15"/>
        <v>300000</v>
      </c>
      <c r="L39" s="342"/>
      <c r="M39" s="342"/>
      <c r="N39" s="369"/>
      <c r="O39" s="344"/>
      <c r="P39" s="344"/>
      <c r="Q39" s="403"/>
      <c r="R39" s="344"/>
      <c r="S39" s="403"/>
      <c r="T39" s="404"/>
      <c r="U39" s="404"/>
      <c r="V39" s="404"/>
    </row>
    <row r="40" spans="1:22" s="365" customFormat="1">
      <c r="A40" s="336"/>
      <c r="B40" s="508">
        <v>5</v>
      </c>
      <c r="C40" s="509" t="s">
        <v>33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89">
        <v>2</v>
      </c>
      <c r="G40" s="360">
        <f ca="1">IF(ISERROR(OFFSET('HARGA SATUAN'!$I$6,MATCH(RAB!C40,'HARGA SATUAN'!$C$7:$C$1492,0),0)),0,OFFSET('HARGA SATUAN'!$I$6,MATCH(RAB!C40,'HARGA SATUAN'!$C$7:$C$1492,0),0))</f>
        <v>9500</v>
      </c>
      <c r="H40" s="361">
        <f t="shared" ca="1" si="12"/>
        <v>0</v>
      </c>
      <c r="I40" s="361">
        <f t="shared" ca="1" si="13"/>
        <v>19000</v>
      </c>
      <c r="J40" s="361">
        <f t="shared" ca="1" si="14"/>
        <v>0</v>
      </c>
      <c r="K40" s="362">
        <f t="shared" ca="1" si="15"/>
        <v>19000</v>
      </c>
      <c r="L40" s="342"/>
      <c r="M40" s="342"/>
      <c r="N40" s="369"/>
      <c r="O40" s="344"/>
      <c r="P40" s="344"/>
      <c r="Q40" s="403"/>
      <c r="R40" s="344"/>
      <c r="S40" s="403"/>
      <c r="T40" s="404"/>
      <c r="U40" s="404"/>
      <c r="V40" s="404"/>
    </row>
    <row r="41" spans="1:22" s="365" customFormat="1">
      <c r="A41" s="336"/>
      <c r="B41" s="508">
        <v>6</v>
      </c>
      <c r="C41" s="509" t="s">
        <v>34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89">
        <v>5.5</v>
      </c>
      <c r="G41" s="360">
        <f ca="1">IF(ISERROR(OFFSET('HARGA SATUAN'!$I$6,MATCH(RAB!C41,'HARGA SATUAN'!$C$7:$C$1492,0),0)),0,OFFSET('HARGA SATUAN'!$I$6,MATCH(RAB!C41,'HARGA SATUAN'!$C$7:$C$1492,0),0))</f>
        <v>6100</v>
      </c>
      <c r="H41" s="361">
        <f t="shared" ca="1" si="12"/>
        <v>0</v>
      </c>
      <c r="I41" s="361">
        <f t="shared" ca="1" si="13"/>
        <v>33550</v>
      </c>
      <c r="J41" s="361">
        <f t="shared" ca="1" si="14"/>
        <v>0</v>
      </c>
      <c r="K41" s="362">
        <f t="shared" ca="1" si="15"/>
        <v>33550</v>
      </c>
      <c r="L41" s="342"/>
      <c r="M41" s="342"/>
      <c r="N41" s="369"/>
      <c r="O41" s="344"/>
      <c r="P41" s="344"/>
      <c r="Q41" s="403"/>
      <c r="R41" s="344"/>
      <c r="S41" s="403"/>
      <c r="T41" s="404"/>
      <c r="U41" s="404"/>
      <c r="V41" s="404"/>
    </row>
    <row r="42" spans="1:22" s="365" customFormat="1">
      <c r="A42" s="336"/>
      <c r="B42" s="508">
        <v>7</v>
      </c>
      <c r="C42" s="509" t="s">
        <v>35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89">
        <v>6</v>
      </c>
      <c r="G42" s="360">
        <f ca="1">IF(ISERROR(OFFSET('HARGA SATUAN'!$I$6,MATCH(RAB!C42,'HARGA SATUAN'!$C$7:$C$1492,0),0)),0,OFFSET('HARGA SATUAN'!$I$6,MATCH(RAB!C42,'HARGA SATUAN'!$C$7:$C$1492,0),0))</f>
        <v>2300</v>
      </c>
      <c r="H42" s="361">
        <f t="shared" ca="1" si="12"/>
        <v>0</v>
      </c>
      <c r="I42" s="361">
        <f t="shared" ca="1" si="13"/>
        <v>13800</v>
      </c>
      <c r="J42" s="361">
        <f t="shared" ca="1" si="14"/>
        <v>0</v>
      </c>
      <c r="K42" s="362">
        <f t="shared" ca="1" si="15"/>
        <v>13800</v>
      </c>
      <c r="L42" s="342"/>
      <c r="M42" s="342"/>
      <c r="N42" s="369"/>
      <c r="O42" s="344"/>
      <c r="P42" s="344"/>
      <c r="Q42" s="403"/>
      <c r="R42" s="344"/>
      <c r="S42" s="403"/>
      <c r="T42" s="404"/>
      <c r="U42" s="404"/>
      <c r="V42" s="404"/>
    </row>
    <row r="43" spans="1:22" s="365" customFormat="1">
      <c r="A43" s="336"/>
      <c r="B43" s="508">
        <v>8</v>
      </c>
      <c r="C43" s="509" t="s">
        <v>1618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489">
        <v>4.8</v>
      </c>
      <c r="G43" s="360">
        <f ca="1">IF(ISERROR(OFFSET('HARGA SATUAN'!$I$6,MATCH(RAB!C43,'HARGA SATUAN'!$C$7:$C$1492,0),0)),0,OFFSET('HARGA SATUAN'!$I$6,MATCH(RAB!C43,'HARGA SATUAN'!$C$7:$C$1492,0),0))</f>
        <v>23310</v>
      </c>
      <c r="H43" s="361">
        <f t="shared" ca="1" si="12"/>
        <v>0</v>
      </c>
      <c r="I43" s="361">
        <f t="shared" ca="1" si="13"/>
        <v>111888</v>
      </c>
      <c r="J43" s="361">
        <f t="shared" ca="1" si="14"/>
        <v>0</v>
      </c>
      <c r="K43" s="362">
        <f t="shared" ca="1" si="15"/>
        <v>111888</v>
      </c>
      <c r="L43" s="342"/>
      <c r="M43" s="342"/>
      <c r="N43" s="369"/>
      <c r="O43" s="344"/>
      <c r="P43" s="344"/>
      <c r="Q43" s="403"/>
      <c r="R43" s="344"/>
      <c r="S43" s="403"/>
      <c r="T43" s="404"/>
      <c r="U43" s="404"/>
      <c r="V43" s="404"/>
    </row>
    <row r="44" spans="1:22" s="365" customFormat="1">
      <c r="A44" s="336"/>
      <c r="B44" s="508">
        <v>9</v>
      </c>
      <c r="C44" s="509" t="s">
        <v>736</v>
      </c>
      <c r="D44" s="358" t="str">
        <f ca="1">IF(ISERROR(OFFSET('HARGA SATUAN'!$D$6,MATCH(RAB!C44,'HARGA SATUAN'!$C$7:$C$1492,0),0)),"",OFFSET('HARGA SATUAN'!$D$6,MATCH(RAB!C44,'HARGA SATUAN'!$C$7:$C$1492,0),0))</f>
        <v>JASA</v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489">
        <v>1</v>
      </c>
      <c r="G44" s="360">
        <f ca="1">IF(ISERROR(OFFSET('HARGA SATUAN'!$I$6,MATCH(RAB!C44,'HARGA SATUAN'!$C$7:$C$1492,0),0)),0,OFFSET('HARGA SATUAN'!$I$6,MATCH(RAB!C44,'HARGA SATUAN'!$C$7:$C$1492,0),0))</f>
        <v>65400</v>
      </c>
      <c r="H44" s="361">
        <f t="shared" ca="1" si="12"/>
        <v>0</v>
      </c>
      <c r="I44" s="361">
        <f t="shared" ca="1" si="13"/>
        <v>0</v>
      </c>
      <c r="J44" s="361">
        <f t="shared" ca="1" si="14"/>
        <v>65400</v>
      </c>
      <c r="K44" s="362">
        <f t="shared" ca="1" si="15"/>
        <v>65400</v>
      </c>
      <c r="L44" s="342"/>
      <c r="M44" s="342"/>
      <c r="N44" s="369"/>
      <c r="O44" s="344"/>
      <c r="P44" s="344"/>
      <c r="Q44" s="403"/>
      <c r="R44" s="344"/>
      <c r="S44" s="403"/>
      <c r="T44" s="404"/>
      <c r="U44" s="404"/>
      <c r="V44" s="404"/>
    </row>
    <row r="45" spans="1:22" s="365" customFormat="1">
      <c r="A45" s="336"/>
      <c r="B45" s="508"/>
      <c r="C45" s="509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368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12"/>
        <v>0</v>
      </c>
      <c r="I45" s="361">
        <f t="shared" ca="1" si="13"/>
        <v>0</v>
      </c>
      <c r="J45" s="361">
        <f t="shared" ca="1" si="14"/>
        <v>0</v>
      </c>
      <c r="K45" s="362">
        <f t="shared" ca="1" si="15"/>
        <v>0</v>
      </c>
      <c r="L45" s="342"/>
      <c r="M45" s="342"/>
      <c r="N45" s="369"/>
      <c r="O45" s="344"/>
      <c r="P45" s="344"/>
      <c r="Q45" s="403"/>
      <c r="R45" s="344"/>
      <c r="S45" s="403"/>
      <c r="T45" s="404"/>
      <c r="U45" s="404"/>
      <c r="V45" s="404"/>
    </row>
    <row r="46" spans="1:22" s="365" customFormat="1">
      <c r="A46" s="336"/>
      <c r="B46" s="508" t="s">
        <v>1035</v>
      </c>
      <c r="C46" s="509" t="s">
        <v>1619</v>
      </c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517">
        <v>1</v>
      </c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ca="1" si="12"/>
        <v>0</v>
      </c>
      <c r="I46" s="361">
        <f t="shared" ca="1" si="13"/>
        <v>0</v>
      </c>
      <c r="J46" s="361">
        <f t="shared" ca="1" si="14"/>
        <v>0</v>
      </c>
      <c r="K46" s="362">
        <f t="shared" ca="1" si="15"/>
        <v>0</v>
      </c>
      <c r="L46" s="342"/>
      <c r="M46" s="342"/>
      <c r="N46" s="369"/>
      <c r="O46" s="344"/>
      <c r="P46" s="344"/>
      <c r="Q46" s="403"/>
      <c r="R46" s="344"/>
      <c r="S46" s="403"/>
      <c r="T46" s="404"/>
      <c r="U46" s="404"/>
      <c r="V46" s="404"/>
    </row>
    <row r="47" spans="1:22" s="365" customFormat="1">
      <c r="A47" s="336"/>
      <c r="B47" s="508">
        <v>1</v>
      </c>
      <c r="C47" s="509" t="s">
        <v>535</v>
      </c>
      <c r="D47" s="358" t="str">
        <f ca="1">IF(ISERROR(OFFSET('HARGA SATUAN'!$D$6,MATCH(RAB!C47,'HARGA SATUAN'!$C$7:$C$1492,0),0)),"",OFFSET('HARGA SATUAN'!$D$6,MATCH(RAB!C47,'HARGA SATUAN'!$C$7:$C$1492,0),0))</f>
        <v>MDU-KD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17">
        <v>1</v>
      </c>
      <c r="G47" s="360">
        <f ca="1">IF(ISERROR(OFFSET('HARGA SATUAN'!$I$6,MATCH(RAB!C47,'HARGA SATUAN'!$C$7:$C$1492,0),0)),0,OFFSET('HARGA SATUAN'!$I$6,MATCH(RAB!C47,'HARGA SATUAN'!$C$7:$C$1492,0),0))</f>
        <v>848250</v>
      </c>
      <c r="H47" s="361">
        <f t="shared" ca="1" si="12"/>
        <v>848250</v>
      </c>
      <c r="I47" s="361">
        <f t="shared" ca="1" si="13"/>
        <v>0</v>
      </c>
      <c r="J47" s="361">
        <f t="shared" ca="1" si="14"/>
        <v>0</v>
      </c>
      <c r="K47" s="362">
        <f t="shared" ca="1" si="15"/>
        <v>848250</v>
      </c>
      <c r="L47" s="342"/>
      <c r="M47" s="342"/>
      <c r="N47" s="369"/>
      <c r="O47" s="344"/>
      <c r="P47" s="344"/>
      <c r="Q47" s="403"/>
      <c r="R47" s="344"/>
      <c r="S47" s="403"/>
      <c r="T47" s="404"/>
      <c r="U47" s="404"/>
      <c r="V47" s="404"/>
    </row>
    <row r="48" spans="1:22" s="365" customFormat="1">
      <c r="A48" s="336"/>
      <c r="B48" s="508">
        <v>2</v>
      </c>
      <c r="C48" s="109" t="s">
        <v>62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17">
        <v>1</v>
      </c>
      <c r="G48" s="360">
        <f ca="1">IF(ISERROR(OFFSET('HARGA SATUAN'!$I$6,MATCH(RAB!C48,'HARGA SATUAN'!$C$7:$C$1492,0),0)),0,OFFSET('HARGA SATUAN'!$I$6,MATCH(RAB!C48,'HARGA SATUAN'!$C$7:$C$1492,0),0))</f>
        <v>32500</v>
      </c>
      <c r="H48" s="361">
        <f t="shared" ca="1" si="12"/>
        <v>0</v>
      </c>
      <c r="I48" s="361">
        <f t="shared" ca="1" si="13"/>
        <v>32500</v>
      </c>
      <c r="J48" s="361">
        <f t="shared" ca="1" si="14"/>
        <v>0</v>
      </c>
      <c r="K48" s="362">
        <f t="shared" ca="1" si="15"/>
        <v>32500</v>
      </c>
      <c r="L48" s="342"/>
      <c r="M48" s="342"/>
      <c r="N48" s="369"/>
      <c r="O48" s="344"/>
      <c r="P48" s="344"/>
      <c r="Q48" s="403"/>
      <c r="R48" s="344"/>
      <c r="S48" s="403"/>
      <c r="T48" s="404"/>
      <c r="U48" s="404"/>
      <c r="V48" s="404"/>
    </row>
    <row r="49" spans="1:22" s="365" customFormat="1">
      <c r="A49" s="336"/>
      <c r="B49" s="508">
        <v>3</v>
      </c>
      <c r="C49" s="509" t="s">
        <v>187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17">
        <v>1</v>
      </c>
      <c r="G49" s="360">
        <f ca="1">IF(ISERROR(OFFSET('HARGA SATUAN'!$I$6,MATCH(RAB!C49,'HARGA SATUAN'!$C$7:$C$1492,0),0)),0,OFFSET('HARGA SATUAN'!$I$6,MATCH(RAB!C49,'HARGA SATUAN'!$C$7:$C$1492,0),0))</f>
        <v>17100</v>
      </c>
      <c r="H49" s="361">
        <f t="shared" ca="1" si="12"/>
        <v>0</v>
      </c>
      <c r="I49" s="361">
        <f t="shared" ca="1" si="13"/>
        <v>17100</v>
      </c>
      <c r="J49" s="361">
        <f t="shared" ca="1" si="14"/>
        <v>0</v>
      </c>
      <c r="K49" s="362">
        <f t="shared" ca="1" si="15"/>
        <v>17100</v>
      </c>
      <c r="L49" s="342"/>
      <c r="M49" s="342"/>
      <c r="N49" s="369"/>
      <c r="O49" s="344"/>
      <c r="P49" s="344"/>
      <c r="Q49" s="403"/>
      <c r="R49" s="344"/>
      <c r="S49" s="403"/>
      <c r="T49" s="404"/>
      <c r="U49" s="404"/>
      <c r="V49" s="404"/>
    </row>
    <row r="50" spans="1:22" s="365" customFormat="1">
      <c r="A50" s="336"/>
      <c r="B50" s="508">
        <v>4</v>
      </c>
      <c r="C50" s="109" t="s">
        <v>174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17">
        <v>1</v>
      </c>
      <c r="G50" s="360">
        <f ca="1">IF(ISERROR(OFFSET('HARGA SATUAN'!$I$6,MATCH(RAB!C50,'HARGA SATUAN'!$C$7:$C$1492,0),0)),0,OFFSET('HARGA SATUAN'!$I$6,MATCH(RAB!C50,'HARGA SATUAN'!$C$7:$C$1492,0),0))</f>
        <v>67700</v>
      </c>
      <c r="H50" s="361">
        <f t="shared" ca="1" si="12"/>
        <v>0</v>
      </c>
      <c r="I50" s="361">
        <f t="shared" ca="1" si="13"/>
        <v>67700</v>
      </c>
      <c r="J50" s="361">
        <f t="shared" ca="1" si="14"/>
        <v>0</v>
      </c>
      <c r="K50" s="362">
        <f t="shared" ca="1" si="15"/>
        <v>67700</v>
      </c>
      <c r="L50" s="342"/>
      <c r="M50" s="342"/>
      <c r="N50" s="369"/>
      <c r="O50" s="344"/>
      <c r="P50" s="344"/>
      <c r="Q50" s="403"/>
      <c r="R50" s="344"/>
      <c r="S50" s="403"/>
      <c r="T50" s="404"/>
      <c r="U50" s="404"/>
      <c r="V50" s="404"/>
    </row>
    <row r="51" spans="1:22" s="365" customFormat="1">
      <c r="A51" s="336"/>
      <c r="B51" s="508">
        <v>5</v>
      </c>
      <c r="C51" s="509" t="s">
        <v>747</v>
      </c>
      <c r="D51" s="358" t="str">
        <f ca="1">IF(ISERROR(OFFSET('HARGA SATUAN'!$D$6,MATCH(RAB!C51,'HARGA SATUAN'!$C$7:$C$1492,0),0)),"",OFFSET('HARGA SATUAN'!$D$6,MATCH(RAB!C51,'HARGA SATUAN'!$C$7:$C$1492,0),0))</f>
        <v>JASA</v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517">
        <v>1</v>
      </c>
      <c r="G51" s="360">
        <f ca="1">IF(ISERROR(OFFSET('HARGA SATUAN'!$I$6,MATCH(RAB!C51,'HARGA SATUAN'!$C$7:$C$1492,0),0)),0,OFFSET('HARGA SATUAN'!$I$6,MATCH(RAB!C51,'HARGA SATUAN'!$C$7:$C$1492,0),0))</f>
        <v>58400</v>
      </c>
      <c r="H51" s="361">
        <f t="shared" ca="1" si="12"/>
        <v>0</v>
      </c>
      <c r="I51" s="361">
        <f t="shared" ca="1" si="13"/>
        <v>0</v>
      </c>
      <c r="J51" s="361">
        <f t="shared" ca="1" si="14"/>
        <v>58400</v>
      </c>
      <c r="K51" s="362">
        <f t="shared" ca="1" si="15"/>
        <v>58400</v>
      </c>
      <c r="L51" s="342"/>
      <c r="M51" s="342"/>
      <c r="N51" s="369"/>
      <c r="O51" s="344"/>
      <c r="P51" s="344"/>
      <c r="Q51" s="403"/>
      <c r="R51" s="344"/>
      <c r="S51" s="403"/>
      <c r="T51" s="404"/>
      <c r="U51" s="404"/>
      <c r="V51" s="404"/>
    </row>
    <row r="52" spans="1:22" s="365" customFormat="1">
      <c r="A52" s="336"/>
      <c r="B52" s="374"/>
      <c r="C52" s="380"/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376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12"/>
        <v>0</v>
      </c>
      <c r="I52" s="361">
        <f t="shared" ca="1" si="13"/>
        <v>0</v>
      </c>
      <c r="J52" s="361">
        <f t="shared" ca="1" si="14"/>
        <v>0</v>
      </c>
      <c r="K52" s="362">
        <f t="shared" ca="1" si="15"/>
        <v>0</v>
      </c>
      <c r="L52" s="411"/>
      <c r="M52" s="411"/>
      <c r="N52" s="369"/>
      <c r="O52" s="344"/>
      <c r="P52" s="344"/>
      <c r="Q52" s="344"/>
    </row>
    <row r="53" spans="1:22" s="365" customFormat="1">
      <c r="A53" s="336"/>
      <c r="B53" s="378" t="s">
        <v>1550</v>
      </c>
      <c r="C53" s="379" t="s">
        <v>1457</v>
      </c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376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12"/>
        <v>0</v>
      </c>
      <c r="I53" s="361">
        <f t="shared" ca="1" si="13"/>
        <v>0</v>
      </c>
      <c r="J53" s="361">
        <f t="shared" ca="1" si="14"/>
        <v>0</v>
      </c>
      <c r="K53" s="362">
        <f t="shared" ca="1" si="15"/>
        <v>0</v>
      </c>
      <c r="L53" s="342"/>
      <c r="M53" s="342"/>
      <c r="N53" s="369"/>
      <c r="O53" s="344"/>
      <c r="P53" s="344"/>
      <c r="Q53" s="403"/>
      <c r="R53" s="344"/>
      <c r="S53" s="403"/>
      <c r="T53" s="404"/>
      <c r="U53" s="404"/>
      <c r="V53" s="404"/>
    </row>
    <row r="54" spans="1:22" s="365" customFormat="1">
      <c r="A54" s="336"/>
      <c r="B54" s="502" t="s">
        <v>1035</v>
      </c>
      <c r="C54" s="503" t="s">
        <v>1611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04">
        <v>1</v>
      </c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ref="H54:H62" ca="1" si="16">IF(OR(D54="MDU",D54="MDU-KD"),(IF($O$3="RAB NON MDU","PLN KD",G54*F54)),0)</f>
        <v>0</v>
      </c>
      <c r="I54" s="361">
        <f t="shared" ref="I54:I62" ca="1" si="17">IF(D54="HDW",G54*F54,0)</f>
        <v>0</v>
      </c>
      <c r="J54" s="361">
        <f t="shared" ref="J54:J62" ca="1" si="18">IF(D54="JASA",G54*F54,0)</f>
        <v>0</v>
      </c>
      <c r="K54" s="362">
        <f t="shared" ref="K54:K62" ca="1" si="19">SUM(H54:J54)</f>
        <v>0</v>
      </c>
      <c r="L54" s="342"/>
      <c r="M54" s="342"/>
      <c r="N54" s="369"/>
      <c r="O54" s="344"/>
      <c r="P54" s="344"/>
      <c r="Q54" s="344"/>
      <c r="R54" s="344"/>
      <c r="S54" s="344"/>
      <c r="T54" s="408"/>
      <c r="U54" s="408"/>
      <c r="V54" s="408"/>
    </row>
    <row r="55" spans="1:22" s="365" customFormat="1">
      <c r="A55" s="336"/>
      <c r="B55" s="502">
        <v>1</v>
      </c>
      <c r="C55" s="109" t="s">
        <v>482</v>
      </c>
      <c r="D55" s="358" t="str">
        <f ca="1">IF(ISERROR(OFFSET('HARGA SATUAN'!$D$6,MATCH(RAB!C55,'HARGA SATUAN'!$C$7:$C$1492,0),0)),"",OFFSET('HARGA SATUAN'!$D$6,MATCH(RAB!C55,'HARGA SATUAN'!$C$7:$C$1492,0),0))</f>
        <v>MDU-KD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4">
        <f>F54*1</f>
        <v>1</v>
      </c>
      <c r="G55" s="360">
        <f ca="1">IF(ISERROR(OFFSET('HARGA SATUAN'!$I$6,MATCH(RAB!C55,'HARGA SATUAN'!$C$7:$C$1492,0),0)),0,OFFSET('HARGA SATUAN'!$I$6,MATCH(RAB!C55,'HARGA SATUAN'!$C$7:$C$1492,0),0))</f>
        <v>327600</v>
      </c>
      <c r="H55" s="361">
        <f t="shared" ca="1" si="16"/>
        <v>327600</v>
      </c>
      <c r="I55" s="361">
        <f t="shared" ca="1" si="17"/>
        <v>0</v>
      </c>
      <c r="J55" s="361">
        <f t="shared" ca="1" si="18"/>
        <v>0</v>
      </c>
      <c r="K55" s="362">
        <f t="shared" ca="1" si="19"/>
        <v>327600</v>
      </c>
      <c r="L55" s="342"/>
      <c r="M55" s="342"/>
      <c r="N55" s="369"/>
      <c r="O55" s="344"/>
      <c r="P55" s="344"/>
      <c r="Q55" s="344"/>
      <c r="R55" s="344"/>
      <c r="S55" s="344"/>
      <c r="T55" s="404"/>
      <c r="U55" s="404"/>
      <c r="V55" s="404"/>
    </row>
    <row r="56" spans="1:22" s="365" customFormat="1">
      <c r="A56" s="336"/>
      <c r="B56" s="502">
        <v>2</v>
      </c>
      <c r="C56" s="109" t="s">
        <v>50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4">
        <v>1</v>
      </c>
      <c r="G56" s="360">
        <f ca="1">IF(ISERROR(OFFSET('HARGA SATUAN'!$I$6,MATCH(RAB!C56,'HARGA SATUAN'!$C$7:$C$1492,0),0)),0,OFFSET('HARGA SATUAN'!$I$6,MATCH(RAB!C56,'HARGA SATUAN'!$C$7:$C$1492,0),0))</f>
        <v>259574.27222222224</v>
      </c>
      <c r="H56" s="361">
        <f t="shared" ref="H56:H59" ca="1" si="20">IF(OR(D56="MDU",D56="MDU-KD"),(IF($O$3="RAB NON MDU","PLN KD",G56*F56)),0)</f>
        <v>0</v>
      </c>
      <c r="I56" s="361">
        <f t="shared" ref="I56:I59" ca="1" si="21">IF(D56="HDW",G56*F56,0)</f>
        <v>259574.27222222224</v>
      </c>
      <c r="J56" s="361">
        <f t="shared" ref="J56:J59" ca="1" si="22">IF(D56="JASA",G56*F56,0)</f>
        <v>0</v>
      </c>
      <c r="K56" s="362">
        <f t="shared" ref="K56:K59" ca="1" si="23">SUM(H56:J56)</f>
        <v>259574.27222222224</v>
      </c>
      <c r="L56" s="342"/>
      <c r="M56" s="342"/>
      <c r="N56" s="369"/>
      <c r="O56" s="344"/>
      <c r="P56" s="344"/>
      <c r="Q56" s="344"/>
      <c r="R56" s="344"/>
      <c r="S56" s="344"/>
      <c r="T56" s="404"/>
      <c r="U56" s="404"/>
      <c r="V56" s="404"/>
    </row>
    <row r="57" spans="1:22" s="365" customFormat="1">
      <c r="A57" s="336"/>
      <c r="B57" s="502">
        <v>3</v>
      </c>
      <c r="C57" s="503" t="s">
        <v>493</v>
      </c>
      <c r="D57" s="358" t="str">
        <f ca="1">IF(ISERROR(OFFSET('HARGA SATUAN'!$D$6,MATCH(RAB!C57,'HARGA SATUAN'!$C$7:$C$1492,0),0)),"",OFFSET('HARGA SATUAN'!$D$6,MATCH(RAB!C57,'HARGA SATUAN'!$C$7:$C$1492,0),0))</f>
        <v>MDU-KD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4">
        <v>1</v>
      </c>
      <c r="G57" s="360">
        <f ca="1">IF(ISERROR(OFFSET('HARGA SATUAN'!$I$6,MATCH(RAB!C57,'HARGA SATUAN'!$C$7:$C$1492,0),0)),0,OFFSET('HARGA SATUAN'!$I$6,MATCH(RAB!C57,'HARGA SATUAN'!$C$7:$C$1492,0),0))</f>
        <v>39000</v>
      </c>
      <c r="H57" s="361">
        <f t="shared" ca="1" si="20"/>
        <v>39000</v>
      </c>
      <c r="I57" s="361">
        <f t="shared" ca="1" si="21"/>
        <v>0</v>
      </c>
      <c r="J57" s="361">
        <f t="shared" ca="1" si="22"/>
        <v>0</v>
      </c>
      <c r="K57" s="362">
        <f t="shared" ca="1" si="23"/>
        <v>39000</v>
      </c>
      <c r="L57" s="342"/>
      <c r="M57" s="342"/>
      <c r="N57" s="369"/>
      <c r="O57" s="344"/>
      <c r="P57" s="344"/>
      <c r="Q57" s="344"/>
      <c r="R57" s="344"/>
      <c r="S57" s="344"/>
      <c r="T57" s="408"/>
      <c r="U57" s="408"/>
      <c r="V57" s="408"/>
    </row>
    <row r="58" spans="1:22" s="365" customFormat="1">
      <c r="A58" s="336"/>
      <c r="B58" s="502">
        <v>4</v>
      </c>
      <c r="C58" s="503" t="s">
        <v>74</v>
      </c>
      <c r="D58" s="358" t="str">
        <f ca="1">IF(ISERROR(OFFSET('HARGA SATUAN'!$D$6,MATCH(RAB!C58,'HARGA SATUAN'!$C$7:$C$1492,0),0)),"",OFFSET('HARGA SATUAN'!$D$6,MATCH(RAB!C58,'HARGA SATUAN'!$C$7:$C$1492,0),0))</f>
        <v>MDU-KD</v>
      </c>
      <c r="E58" s="359" t="str">
        <f ca="1">IF(B58="+","Unit",IF(ISERROR(OFFSET('HARGA SATUAN'!$E$6,MATCH(RAB!C58,'HARGA SATUAN'!$C$7:$C$1492,0),0)),"",OFFSET('HARGA SATUAN'!$E$6,MATCH(RAB!C58,'HARGA SATUAN'!$C$7:$C$1492,0),0)))</f>
        <v>Mtr</v>
      </c>
      <c r="F58" s="504">
        <v>20</v>
      </c>
      <c r="G58" s="360">
        <f ca="1">IF(ISERROR(OFFSET('HARGA SATUAN'!$I$6,MATCH(RAB!C58,'HARGA SATUAN'!$C$7:$C$1492,0),0)),0,OFFSET('HARGA SATUAN'!$I$6,MATCH(RAB!C58,'HARGA SATUAN'!$C$7:$C$1492,0),0))</f>
        <v>6600</v>
      </c>
      <c r="H58" s="361">
        <f t="shared" ca="1" si="20"/>
        <v>132000</v>
      </c>
      <c r="I58" s="361">
        <f t="shared" ca="1" si="21"/>
        <v>0</v>
      </c>
      <c r="J58" s="361">
        <f t="shared" ca="1" si="22"/>
        <v>0</v>
      </c>
      <c r="K58" s="362">
        <f t="shared" ca="1" si="23"/>
        <v>132000</v>
      </c>
      <c r="L58" s="411" t="e">
        <f ca="1">PROPER([94]!terbilang(K68))</f>
        <v>#NAME?</v>
      </c>
      <c r="M58" s="411"/>
      <c r="N58" s="369"/>
      <c r="O58" s="344"/>
      <c r="P58" s="344"/>
      <c r="Q58" s="344"/>
    </row>
    <row r="59" spans="1:22" s="365" customFormat="1">
      <c r="A59" s="336"/>
      <c r="B59" s="502">
        <v>5</v>
      </c>
      <c r="C59" s="503" t="s">
        <v>798</v>
      </c>
      <c r="D59" s="358" t="str">
        <f ca="1">IF(ISERROR(OFFSET('HARGA SATUAN'!$D$6,MATCH(RAB!C59,'HARGA SATUAN'!$C$7:$C$1492,0),0)),"",OFFSET('HARGA SATUAN'!$D$6,MATCH(RAB!C59,'HARGA SATUAN'!$C$7:$C$1492,0),0))</f>
        <v>JASA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504">
        <f>F54*1</f>
        <v>1</v>
      </c>
      <c r="G59" s="360">
        <f ca="1">IF(ISERROR(OFFSET('HARGA SATUAN'!$I$6,MATCH(RAB!C59,'HARGA SATUAN'!$C$7:$C$1492,0),0)),0,OFFSET('HARGA SATUAN'!$I$6,MATCH(RAB!C59,'HARGA SATUAN'!$C$7:$C$1492,0),0))</f>
        <v>54400</v>
      </c>
      <c r="H59" s="361">
        <f t="shared" ca="1" si="20"/>
        <v>0</v>
      </c>
      <c r="I59" s="361">
        <f t="shared" ca="1" si="21"/>
        <v>0</v>
      </c>
      <c r="J59" s="361">
        <f t="shared" ca="1" si="22"/>
        <v>54400</v>
      </c>
      <c r="K59" s="362">
        <f t="shared" ca="1" si="23"/>
        <v>54400</v>
      </c>
      <c r="L59" s="342"/>
      <c r="M59" s="342"/>
      <c r="N59" s="369"/>
      <c r="O59" s="344"/>
      <c r="P59" s="403"/>
      <c r="Q59" s="344"/>
    </row>
    <row r="60" spans="1:22">
      <c r="B60" s="502">
        <v>6</v>
      </c>
      <c r="C60" s="507" t="s">
        <v>981</v>
      </c>
      <c r="D60" s="358" t="str">
        <f ca="1">IF(ISERROR(OFFSET('HARGA SATUAN'!$D$6,MATCH(RAB!C60,'HARGA SATUAN'!$C$7:$C$1492,0),0)),"",OFFSET('HARGA SATUAN'!$D$6,MATCH(RAB!C60,'HARGA SATUAN'!$C$7:$C$1492,0),0))</f>
        <v>JASA</v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489">
        <v>1</v>
      </c>
      <c r="G60" s="360">
        <f ca="1">IF(ISERROR(OFFSET('HARGA SATUAN'!$I$6,MATCH(RAB!C60,'HARGA SATUAN'!$C$7:$C$1492,0),0)),0,OFFSET('HARGA SATUAN'!$I$6,MATCH(RAB!C60,'HARGA SATUAN'!$C$7:$C$1492,0),0))</f>
        <v>32640</v>
      </c>
      <c r="H60" s="361">
        <f t="shared" ca="1" si="16"/>
        <v>0</v>
      </c>
      <c r="I60" s="361">
        <f t="shared" ca="1" si="17"/>
        <v>0</v>
      </c>
      <c r="J60" s="361">
        <f t="shared" ca="1" si="18"/>
        <v>32640</v>
      </c>
      <c r="K60" s="362">
        <f t="shared" ca="1" si="19"/>
        <v>32640</v>
      </c>
    </row>
    <row r="61" spans="1:22">
      <c r="B61" s="381"/>
      <c r="C61" s="377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489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ref="H61" ca="1" si="24">IF(OR(D61="MDU",D61="MDU-KD"),(IF($O$3="RAB NON MDU","PLN KD",G61*F61)),0)</f>
        <v>0</v>
      </c>
      <c r="I61" s="361">
        <f t="shared" ref="I61" ca="1" si="25">IF(D61="HDW",G61*F61,0)</f>
        <v>0</v>
      </c>
      <c r="J61" s="361">
        <f t="shared" ref="J61" ca="1" si="26">IF(D61="JASA",G61*F61,0)</f>
        <v>0</v>
      </c>
      <c r="K61" s="362">
        <f t="shared" ref="K61" ca="1" si="27">SUM(H61:J61)</f>
        <v>0</v>
      </c>
    </row>
    <row r="62" spans="1:22">
      <c r="B62" s="382"/>
      <c r="C62" s="383" t="s">
        <v>475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489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16"/>
        <v>0</v>
      </c>
      <c r="I62" s="361">
        <f t="shared" ca="1" si="17"/>
        <v>0</v>
      </c>
      <c r="J62" s="361">
        <f t="shared" ca="1" si="18"/>
        <v>0</v>
      </c>
      <c r="K62" s="362">
        <f t="shared" ca="1" si="19"/>
        <v>0</v>
      </c>
    </row>
    <row r="63" spans="1:22">
      <c r="B63" s="385">
        <v>1</v>
      </c>
      <c r="C63" s="386" t="s">
        <v>1091</v>
      </c>
      <c r="D63" s="387" t="str">
        <f ca="1">IF(ISERROR(OFFSET('HARGA SATUAN'!$D$6,MATCH(RAB!C63,'HARGA SATUAN'!$C$7:$C$1492,0),0)),"",OFFSET('HARGA SATUAN'!$D$6,MATCH(RAB!C63,'HARGA SATUAN'!$C$7:$C$1492,0),0))</f>
        <v>JASA</v>
      </c>
      <c r="E63" s="388" t="str">
        <f ca="1">IF(ISERROR(OFFSET('HARGA SATUAN'!$E$6,MATCH(RAB!C63,'HARGA SATUAN'!$C$7:$C$1492,0),0)),"",OFFSET('HARGA SATUAN'!$E$6,MATCH(RAB!C63,'HARGA SATUAN'!$C$7:$C$1492,0),0))</f>
        <v>Lot</v>
      </c>
      <c r="F63" s="389">
        <v>1</v>
      </c>
      <c r="G63" s="390">
        <f ca="1">IF(ISERROR(OFFSET('HARGA SATUAN'!$I$6,MATCH(RAB!C63,'HARGA SATUAN'!$C$7:$C$1492,0),0)),0,OFFSET('HARGA SATUAN'!$I$6,MATCH(RAB!C63,'HARGA SATUAN'!$C$7:$C$1492,0),0))</f>
        <v>2.5000000000000001E-2</v>
      </c>
      <c r="H63" s="391">
        <f ca="1">(SUM(H14:H62)*2.5%)</f>
        <v>733181.25</v>
      </c>
      <c r="I63" s="391">
        <f t="shared" ref="I63:K63" ca="1" si="28">(SUM(I14:I62)*2.5%)</f>
        <v>59863.781805555562</v>
      </c>
      <c r="J63" s="391">
        <f t="shared" ca="1" si="28"/>
        <v>13931</v>
      </c>
      <c r="K63" s="391">
        <f t="shared" ca="1" si="28"/>
        <v>806976.03180555557</v>
      </c>
    </row>
    <row r="64" spans="1:22">
      <c r="B64" s="392"/>
      <c r="C64" s="393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IF(ISERROR(OFFSET('HARGA SATUAN'!$E$6,MATCH(RAB!C64,'HARGA SATUAN'!$C$7:$C$1492,0),0)),"",OFFSET('HARGA SATUAN'!$E$6,MATCH(RAB!C64,'HARGA SATUAN'!$C$7:$C$1492,0),0))</f>
        <v/>
      </c>
      <c r="F64" s="384"/>
      <c r="G64" s="360" t="str">
        <f ca="1">IF(ISERROR(OFFSET('HARGA SATUAN'!$I$6,MATCH(RAB!C64,'HARGA SATUAN'!$C$7:$C$1492,0),0)),"",OFFSET('HARGA SATUAN'!$I$6,MATCH(RAB!C64,'HARGA SATUAN'!$C$7:$C$1492,0),0))</f>
        <v/>
      </c>
      <c r="H64" s="361">
        <f ca="1">IF(OR(D64="MDU",D64="MDU-KD"),IF(G64="PLN",0,G64*F64),0)</f>
        <v>0</v>
      </c>
      <c r="I64" s="361">
        <f ca="1">IF(D64="HDW",IF(G64="PLN",0,G64*F64),0)</f>
        <v>0</v>
      </c>
      <c r="J64" s="361">
        <f ca="1">IF(D64="JASA",IF(G64="PLN",0,G64*F64),0)</f>
        <v>0</v>
      </c>
      <c r="K64" s="362">
        <f ca="1">SUM(H64:J64)</f>
        <v>0</v>
      </c>
    </row>
    <row r="65" spans="2:13" ht="15.75" thickBot="1">
      <c r="B65" s="394"/>
      <c r="C65" s="395"/>
      <c r="D65" s="396"/>
      <c r="E65" s="397"/>
      <c r="F65" s="397"/>
      <c r="G65" s="397"/>
      <c r="H65" s="398"/>
      <c r="I65" s="398"/>
      <c r="J65" s="398"/>
      <c r="K65" s="399"/>
    </row>
    <row r="66" spans="2:13">
      <c r="B66" s="400"/>
      <c r="C66" s="618" t="s">
        <v>1008</v>
      </c>
      <c r="D66" s="618"/>
      <c r="E66" s="618"/>
      <c r="F66" s="618"/>
      <c r="G66" s="401" t="s">
        <v>9</v>
      </c>
      <c r="H66" s="402">
        <f ca="1">SUM(H14:H64)</f>
        <v>30060431.25</v>
      </c>
      <c r="I66" s="402">
        <f ca="1">SUM(I14:I64)</f>
        <v>2454415.0540277776</v>
      </c>
      <c r="J66" s="402">
        <f ca="1">SUM(J14:J64)</f>
        <v>571171</v>
      </c>
      <c r="K66" s="402">
        <f ca="1">SUM(K14:K64)</f>
        <v>33086017.304027777</v>
      </c>
    </row>
    <row r="67" spans="2:13">
      <c r="B67" s="405"/>
      <c r="C67" s="634" t="s">
        <v>1460</v>
      </c>
      <c r="D67" s="634"/>
      <c r="E67" s="634"/>
      <c r="F67" s="634"/>
      <c r="G67" s="406" t="s">
        <v>9</v>
      </c>
      <c r="H67" s="407">
        <f ca="1">H66*0.11</f>
        <v>3306647.4375</v>
      </c>
      <c r="I67" s="407">
        <f ca="1">I66*0.11</f>
        <v>269985.65594305552</v>
      </c>
      <c r="J67" s="407">
        <f ca="1">J66*0.11</f>
        <v>62828.81</v>
      </c>
      <c r="K67" s="407">
        <f ca="1">K66*0.11</f>
        <v>3639461.9034430557</v>
      </c>
    </row>
    <row r="68" spans="2:13" ht="15.75" thickBot="1">
      <c r="B68" s="405"/>
      <c r="C68" s="632" t="s">
        <v>463</v>
      </c>
      <c r="D68" s="632"/>
      <c r="E68" s="632"/>
      <c r="F68" s="632"/>
      <c r="G68" s="409" t="s">
        <v>9</v>
      </c>
      <c r="H68" s="410">
        <f ca="1">SUM(H66:H67)</f>
        <v>33367078.6875</v>
      </c>
      <c r="I68" s="410">
        <f ca="1">SUM(I66:I67)</f>
        <v>2724400.7099708333</v>
      </c>
      <c r="J68" s="409">
        <f ca="1">SUM(J66:J67)</f>
        <v>633999.81000000006</v>
      </c>
      <c r="K68" s="409">
        <f ca="1">SUM(K66:K67)</f>
        <v>36725479.207470834</v>
      </c>
      <c r="M68" s="494"/>
    </row>
    <row r="69" spans="2:13">
      <c r="B69" s="635" t="str">
        <f ca="1">"Terbilang : "&amp;PROPER(IF(K68=0,"nol",IF(K68&lt;0,"minus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IF(--MID(TEXT(ABS(K68),"000000000000000"),1,3)=0,"",MID(TEXT(ABS(K68),"000000000000000"),1,1)&amp;" ratus "&amp;MID(TEXT(ABS(K68),"000000000000000"),2,1)&amp;" puluh "&amp;MID(TEXT(ABS(K68),"000000000000000"),3,1)&amp;" trilyun ")&amp; IF(--MID(TEXT(ABS(K68),"000000000000000"),4,3)=0,"",MID(TEXT(ABS(K68),"000000000000000"),4,1)&amp;" ratus "&amp;MID(TEXT(ABS(K68),"000000000000000"),5,1)&amp;" puluh "&amp;MID(TEXT(ABS(K68),"000000000000000"),6,1)&amp;" milyar ")&amp; IF(--MID(TEXT(ABS(K68),"000000000000000"),7,3)=0,"",MID(TEXT(ABS(K68),"000000000000000"),7,1)&amp;" ratus "&amp;MID(TEXT(ABS(K68),"000000000000000"),8,1)&amp;" puluh "&amp;MID(TEXT(ABS(K68),"000000000000000"),9,1)&amp;" juta ")&amp; IF(--MID(TEXT(ABS(K68),"000000000000000"),10,3)=0,"",IF(--MID(TEXT(ABS(K68),"000000000000000"),10,3)=1,"*",MID(TEXT(ABS(K68),"000000000000000"),10,1)&amp;" ratus "&amp;MID(TEXT(ABS(K68),"000000000000000"),11,1)&amp;" puluh ")&amp;MID(TEXT(ABS(K68),"000000000000000"),12,1)&amp;" ribu ")&amp; IF(--MID(TEXT(ABS(K68),"000000000000000"),13,3)=0,"",MID(TEXT(ABS(K68),"000000000000000"),13,1)&amp;" ratus "&amp;MID(TEXT(ABS(K68),"000000000000000"),14,1)&amp;" puluh "&amp;MID(TEXT(ABS(K68),"000000000000000"),15,1)),1,"satu"),2,"dua"),3,"tiga"),4,"empat"),5,"lima"),6,"enam"),7,"tujuh"),8,"delapan"),9,"sembilan"),"0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Enam Juta Tujuh Ratus Dua Puluh Lima Ribu Empat Ratus Tujuh Puluh Sembilan Rupiah</v>
      </c>
      <c r="C69" s="636"/>
      <c r="D69" s="636"/>
      <c r="E69" s="636"/>
      <c r="F69" s="636"/>
      <c r="G69" s="636"/>
      <c r="H69" s="636"/>
      <c r="I69" s="636"/>
      <c r="J69" s="636"/>
      <c r="K69" s="637"/>
    </row>
    <row r="70" spans="2:13">
      <c r="B70" s="638"/>
      <c r="C70" s="639"/>
      <c r="D70" s="639"/>
      <c r="E70" s="639"/>
      <c r="F70" s="639"/>
      <c r="G70" s="639"/>
      <c r="H70" s="639"/>
      <c r="I70" s="639"/>
      <c r="J70" s="639"/>
      <c r="K70" s="640"/>
    </row>
    <row r="71" spans="2:13" ht="15.75" thickBot="1">
      <c r="B71" s="412" t="str">
        <f>"Harga yang dipakai adalah "&amp;'HARGA SATUAN'!I5&amp;""</f>
        <v>Harga yang dipakai adalah RAB HSS 2023</v>
      </c>
      <c r="C71" s="413"/>
      <c r="D71" s="414"/>
      <c r="E71" s="414"/>
      <c r="F71" s="414"/>
      <c r="G71" s="415"/>
      <c r="H71" s="415"/>
      <c r="I71" s="415"/>
      <c r="J71" s="415"/>
      <c r="K71" s="416"/>
    </row>
    <row r="72" spans="2:13">
      <c r="C72" s="417"/>
      <c r="E72" s="419"/>
      <c r="F72" s="419"/>
      <c r="G72" s="419"/>
    </row>
    <row r="73" spans="2:13">
      <c r="C73" s="337"/>
      <c r="E73" s="419"/>
      <c r="F73" s="419"/>
      <c r="G73" s="419"/>
      <c r="H73" s="641"/>
      <c r="I73" s="641"/>
      <c r="J73" s="642"/>
      <c r="K73" s="642"/>
    </row>
    <row r="74" spans="2:13">
      <c r="C74" s="337"/>
      <c r="E74" s="419"/>
      <c r="F74" s="419"/>
      <c r="G74" s="419"/>
      <c r="H74" s="420"/>
      <c r="I74" s="631" t="s">
        <v>1622</v>
      </c>
      <c r="J74" s="631"/>
      <c r="K74" s="631"/>
    </row>
    <row r="75" spans="2:13">
      <c r="C75" s="337"/>
      <c r="E75" s="419"/>
      <c r="F75" s="419"/>
      <c r="G75" s="419"/>
      <c r="H75" s="420"/>
      <c r="I75" s="631" t="s">
        <v>1623</v>
      </c>
      <c r="J75" s="631"/>
      <c r="K75" s="631"/>
    </row>
    <row r="76" spans="2:13">
      <c r="C76" s="337"/>
      <c r="E76" s="419"/>
      <c r="F76" s="419"/>
      <c r="G76" s="419"/>
      <c r="H76" s="421"/>
      <c r="I76" s="422"/>
      <c r="J76" s="422"/>
      <c r="K76" s="422"/>
    </row>
    <row r="77" spans="2:13">
      <c r="C77" s="337"/>
      <c r="E77" s="419"/>
      <c r="F77" s="419"/>
      <c r="G77" s="419"/>
      <c r="H77" s="421"/>
      <c r="I77" s="421"/>
      <c r="J77" s="421"/>
      <c r="K77" s="421"/>
    </row>
    <row r="78" spans="2:13">
      <c r="C78" s="337"/>
      <c r="E78" s="419"/>
      <c r="F78" s="419"/>
      <c r="G78" s="419"/>
      <c r="H78" s="421"/>
      <c r="I78" s="421"/>
      <c r="J78" s="421"/>
      <c r="K78" s="421"/>
    </row>
    <row r="79" spans="2:13">
      <c r="C79" s="337"/>
      <c r="E79" s="419"/>
      <c r="F79" s="419"/>
      <c r="G79" s="419"/>
      <c r="H79" s="421"/>
      <c r="I79" s="421"/>
      <c r="J79" s="421"/>
      <c r="K79" s="421"/>
    </row>
    <row r="80" spans="2:13">
      <c r="C80" s="337"/>
      <c r="E80" s="419"/>
      <c r="F80" s="419"/>
      <c r="G80" s="419"/>
      <c r="H80" s="423"/>
      <c r="I80" s="631" t="s">
        <v>1624</v>
      </c>
      <c r="J80" s="631"/>
      <c r="K80" s="631"/>
    </row>
    <row r="81" spans="3:11">
      <c r="C81" s="417"/>
      <c r="E81" s="419"/>
      <c r="F81" s="419"/>
      <c r="G81" s="419"/>
      <c r="H81" s="421"/>
      <c r="I81" s="421"/>
      <c r="J81" s="421"/>
      <c r="K81" s="421"/>
    </row>
    <row r="82" spans="3:11">
      <c r="C82" s="417"/>
      <c r="E82" s="419"/>
      <c r="F82" s="419"/>
      <c r="G82" s="419"/>
      <c r="H82" s="421"/>
      <c r="I82" s="421"/>
      <c r="J82" s="421"/>
      <c r="K82" s="421"/>
    </row>
    <row r="83" spans="3:11">
      <c r="C83" s="417"/>
      <c r="E83" s="419"/>
      <c r="F83" s="419"/>
      <c r="G83" s="419"/>
      <c r="H83" s="421"/>
      <c r="I83" s="421"/>
      <c r="J83" s="421"/>
      <c r="K83" s="421"/>
    </row>
  </sheetData>
  <sheetProtection sort="0" autoFilter="0"/>
  <protectedRanges>
    <protectedRange sqref="B61" name="Range1_1"/>
    <protectedRange sqref="F14:F15" name="Range1_1_2_2"/>
    <protectedRange sqref="B19:C20 C61 B52:C53" name="Range1_1_1"/>
    <protectedRange sqref="B54:C54 C58:C60 B55:B60" name="Range1_6_1"/>
    <protectedRange sqref="C57" name="Range1_1_2_2_1"/>
    <protectedRange sqref="C55" name="Range1_1_2_5"/>
    <protectedRange sqref="C56" name="Range1_1_3"/>
    <protectedRange sqref="B21:C24 B26:C29 B25 B31:C51 B30" name="Range1_1_1_1"/>
    <protectedRange sqref="C25" name="Range1_1_3_1"/>
    <protectedRange sqref="C30" name="Range1_1_3_2"/>
  </protectedRanges>
  <mergeCells count="22">
    <mergeCell ref="I75:K75"/>
    <mergeCell ref="I80:K80"/>
    <mergeCell ref="C68:F68"/>
    <mergeCell ref="G6:K6"/>
    <mergeCell ref="I74:K74"/>
    <mergeCell ref="C67:F67"/>
    <mergeCell ref="B69:K70"/>
    <mergeCell ref="H73:K73"/>
    <mergeCell ref="H11:K11"/>
    <mergeCell ref="H12:H13"/>
    <mergeCell ref="J12:J13"/>
    <mergeCell ref="K12:K13"/>
    <mergeCell ref="O3:P4"/>
    <mergeCell ref="B4:K4"/>
    <mergeCell ref="C66:F66"/>
    <mergeCell ref="B11:B13"/>
    <mergeCell ref="C11:C13"/>
    <mergeCell ref="D11:D13"/>
    <mergeCell ref="E11:E13"/>
    <mergeCell ref="F11:F13"/>
    <mergeCell ref="G11:G13"/>
    <mergeCell ref="I12:I13"/>
  </mergeCells>
  <phoneticPr fontId="135" type="noConversion"/>
  <conditionalFormatting sqref="C15">
    <cfRule type="cellIs" dxfId="9" priority="359" operator="equal">
      <formula>0</formula>
    </cfRule>
  </conditionalFormatting>
  <conditionalFormatting sqref="C55:C57">
    <cfRule type="cellIs" dxfId="8" priority="5" operator="equal">
      <formula>0</formula>
    </cfRule>
  </conditionalFormatting>
  <conditionalFormatting sqref="E1:E3 G1:G13 E5:E13 H12:I12 O13 E14:K15 E54:K62 E63:G63 H63:K65 E64:H64 E65:F65 E16:E53 G16:K53">
    <cfRule type="cellIs" dxfId="7" priority="939" stopIfTrue="1" operator="equal">
      <formula>0</formula>
    </cfRule>
  </conditionalFormatting>
  <conditionalFormatting sqref="F16:F17">
    <cfRule type="cellIs" dxfId="6" priority="178" stopIfTrue="1" operator="equal">
      <formula>0</formula>
    </cfRule>
  </conditionalFormatting>
  <conditionalFormatting sqref="G64:G65530 E69:E65530">
    <cfRule type="cellIs" dxfId="5" priority="73" stopIfTrue="1" operator="equal">
      <formula>0</formula>
    </cfRule>
  </conditionalFormatting>
  <conditionalFormatting sqref="S14:V18">
    <cfRule type="cellIs" dxfId="4" priority="120" stopIfTrue="1" operator="equal">
      <formula>0</formula>
    </cfRule>
  </conditionalFormatting>
  <conditionalFormatting sqref="C21:C24 C26:C29 C31:C44">
    <cfRule type="cellIs" dxfId="3" priority="4" operator="equal">
      <formula>0</formula>
    </cfRule>
  </conditionalFormatting>
  <conditionalFormatting sqref="F21:F51">
    <cfRule type="cellIs" dxfId="2" priority="3" stopIfTrue="1" operator="equal">
      <formula>0</formula>
    </cfRule>
  </conditionalFormatting>
  <conditionalFormatting sqref="C25">
    <cfRule type="cellIs" dxfId="1" priority="2" operator="equal">
      <formula>0</formula>
    </cfRule>
  </conditionalFormatting>
  <conditionalFormatting sqref="C30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6:F17 F60:F62 H14:K6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5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37" zoomScale="115" zoomScaleNormal="115" zoomScaleSheetLayoutView="115" workbookViewId="0">
      <selection activeCell="AB53" sqref="AB53:AD53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5" t="s">
        <v>1438</v>
      </c>
      <c r="X2" s="646"/>
      <c r="Y2" s="646"/>
      <c r="Z2" s="646"/>
      <c r="AA2" s="646"/>
      <c r="AB2" s="646"/>
      <c r="AC2" s="646"/>
      <c r="AD2" s="647"/>
    </row>
    <row r="3" spans="3:30">
      <c r="C3" s="238"/>
      <c r="W3" s="648"/>
      <c r="X3" s="649"/>
      <c r="Y3" s="649"/>
      <c r="Z3" s="649"/>
      <c r="AA3" s="649"/>
      <c r="AB3" s="649"/>
      <c r="AC3" s="649"/>
      <c r="AD3" s="65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1" t="s">
        <v>990</v>
      </c>
      <c r="Y5" s="651"/>
      <c r="Z5" s="651"/>
      <c r="AA5" s="651" t="s">
        <v>988</v>
      </c>
      <c r="AB5" s="651"/>
      <c r="AC5" s="651" t="s">
        <v>989</v>
      </c>
      <c r="AD5" s="652"/>
    </row>
    <row r="6" spans="3:30">
      <c r="C6" s="238"/>
      <c r="W6" s="241">
        <v>1</v>
      </c>
      <c r="X6" s="651" t="s">
        <v>993</v>
      </c>
      <c r="Y6" s="651"/>
      <c r="Z6" s="651"/>
      <c r="AA6" s="651"/>
      <c r="AB6" s="651"/>
      <c r="AC6" s="651"/>
      <c r="AD6" s="652"/>
    </row>
    <row r="7" spans="3:30">
      <c r="C7" s="238"/>
      <c r="E7" s="500" t="s">
        <v>1613</v>
      </c>
      <c r="W7" s="241">
        <v>2</v>
      </c>
      <c r="X7" s="651" t="s">
        <v>994</v>
      </c>
      <c r="Y7" s="651"/>
      <c r="Z7" s="651"/>
      <c r="AA7" s="651"/>
      <c r="AB7" s="651"/>
      <c r="AC7" s="651"/>
      <c r="AD7" s="652"/>
    </row>
    <row r="8" spans="3:30">
      <c r="C8" s="238"/>
      <c r="W8" s="241">
        <v>3</v>
      </c>
      <c r="X8" s="651" t="s">
        <v>995</v>
      </c>
      <c r="Y8" s="651"/>
      <c r="Z8" s="651"/>
      <c r="AA8" s="651"/>
      <c r="AB8" s="651"/>
      <c r="AC8" s="651"/>
      <c r="AD8" s="652"/>
    </row>
    <row r="9" spans="3:30">
      <c r="C9" s="238"/>
      <c r="W9" s="241">
        <v>4</v>
      </c>
      <c r="X9" s="651" t="s">
        <v>996</v>
      </c>
      <c r="Y9" s="651"/>
      <c r="Z9" s="651"/>
      <c r="AA9" s="651"/>
      <c r="AB9" s="651"/>
      <c r="AC9" s="651"/>
      <c r="AD9" s="652"/>
    </row>
    <row r="10" spans="3:30">
      <c r="C10" s="238"/>
      <c r="W10" s="241">
        <v>5</v>
      </c>
      <c r="X10" s="651" t="s">
        <v>997</v>
      </c>
      <c r="Y10" s="651"/>
      <c r="Z10" s="651"/>
      <c r="AA10" s="651"/>
      <c r="AB10" s="651"/>
      <c r="AC10" s="651"/>
      <c r="AD10" s="652"/>
    </row>
    <row r="11" spans="3:30">
      <c r="C11" s="238"/>
      <c r="W11" s="241">
        <v>6</v>
      </c>
      <c r="X11" s="651" t="s">
        <v>998</v>
      </c>
      <c r="Y11" s="651"/>
      <c r="Z11" s="651"/>
      <c r="AA11" s="651"/>
      <c r="AB11" s="651"/>
      <c r="AC11" s="651"/>
      <c r="AD11" s="652"/>
    </row>
    <row r="12" spans="3:30">
      <c r="C12" s="238"/>
      <c r="W12" s="241">
        <v>7</v>
      </c>
      <c r="X12" s="651" t="s">
        <v>999</v>
      </c>
      <c r="Y12" s="651"/>
      <c r="Z12" s="651"/>
      <c r="AA12" s="651"/>
      <c r="AB12" s="651"/>
      <c r="AC12" s="651"/>
      <c r="AD12" s="652"/>
    </row>
    <row r="13" spans="3:30" ht="12.75" customHeight="1">
      <c r="C13" s="238"/>
      <c r="W13" s="241">
        <v>8</v>
      </c>
      <c r="X13" s="651" t="s">
        <v>1000</v>
      </c>
      <c r="Y13" s="651"/>
      <c r="Z13" s="651"/>
      <c r="AA13" s="651"/>
      <c r="AB13" s="651"/>
      <c r="AC13" s="651"/>
      <c r="AD13" s="652"/>
    </row>
    <row r="14" spans="3:30">
      <c r="C14" s="238"/>
      <c r="W14" s="241">
        <v>9</v>
      </c>
      <c r="X14" s="651" t="s">
        <v>1001</v>
      </c>
      <c r="Y14" s="651"/>
      <c r="Z14" s="651"/>
      <c r="AA14" s="651"/>
      <c r="AB14" s="651"/>
      <c r="AC14" s="651"/>
      <c r="AD14" s="652"/>
    </row>
    <row r="15" spans="3:30">
      <c r="C15" s="238"/>
      <c r="W15" s="241">
        <v>10</v>
      </c>
      <c r="X15" s="651" t="s">
        <v>1010</v>
      </c>
      <c r="Y15" s="651"/>
      <c r="Z15" s="651"/>
      <c r="AA15" s="651"/>
      <c r="AB15" s="651"/>
      <c r="AC15" s="651"/>
      <c r="AD15" s="652"/>
    </row>
    <row r="16" spans="3:30">
      <c r="C16" s="238"/>
      <c r="W16" s="241">
        <v>11</v>
      </c>
      <c r="X16" s="651" t="s">
        <v>1458</v>
      </c>
      <c r="Y16" s="651"/>
      <c r="Z16" s="651"/>
      <c r="AA16" s="651"/>
      <c r="AB16" s="651"/>
      <c r="AC16" s="651"/>
      <c r="AD16" s="652"/>
    </row>
    <row r="17" spans="3:30">
      <c r="C17" s="238"/>
      <c r="S17" s="242"/>
      <c r="W17" s="241">
        <v>12</v>
      </c>
      <c r="X17" s="651" t="s">
        <v>1011</v>
      </c>
      <c r="Y17" s="651"/>
      <c r="Z17" s="651"/>
      <c r="AA17" s="651"/>
      <c r="AB17" s="651"/>
      <c r="AC17" s="651"/>
      <c r="AD17" s="652"/>
    </row>
    <row r="18" spans="3:30">
      <c r="C18" s="243"/>
      <c r="D18" s="244"/>
      <c r="E18" s="244"/>
      <c r="W18" s="241">
        <v>13</v>
      </c>
      <c r="X18" s="651"/>
      <c r="Y18" s="651"/>
      <c r="Z18" s="651"/>
      <c r="AA18" s="651"/>
      <c r="AB18" s="651"/>
      <c r="AC18" s="651"/>
      <c r="AD18" s="652"/>
    </row>
    <row r="19" spans="3:30">
      <c r="C19" s="238"/>
      <c r="W19" s="245"/>
      <c r="X19" s="668"/>
      <c r="Y19" s="668"/>
      <c r="Z19" s="668"/>
      <c r="AA19" s="668"/>
      <c r="AB19" s="668"/>
      <c r="AC19" s="668"/>
      <c r="AD19" s="669"/>
    </row>
    <row r="20" spans="3:30">
      <c r="C20" s="238"/>
      <c r="W20" s="653" t="s">
        <v>992</v>
      </c>
      <c r="X20" s="654"/>
      <c r="Y20" s="654"/>
      <c r="Z20" s="654"/>
      <c r="AA20" s="654"/>
      <c r="AB20" s="654"/>
      <c r="AC20" s="654"/>
      <c r="AD20" s="655"/>
    </row>
    <row r="21" spans="3:30">
      <c r="C21" s="238"/>
      <c r="W21" s="656" t="s">
        <v>985</v>
      </c>
      <c r="X21" s="657"/>
      <c r="Y21" s="657"/>
      <c r="Z21" s="658"/>
      <c r="AA21" s="659" t="s">
        <v>986</v>
      </c>
      <c r="AB21" s="660"/>
      <c r="AC21" s="660"/>
      <c r="AD21" s="661"/>
    </row>
    <row r="22" spans="3:30">
      <c r="C22" s="238"/>
      <c r="W22" s="662" t="s">
        <v>1612</v>
      </c>
      <c r="X22" s="663"/>
      <c r="Y22" s="505" t="s">
        <v>1058</v>
      </c>
      <c r="Z22" s="506">
        <v>1</v>
      </c>
      <c r="AA22" s="664"/>
      <c r="AB22" s="665"/>
      <c r="AC22" s="248"/>
      <c r="AD22" s="249"/>
    </row>
    <row r="23" spans="3:30">
      <c r="C23" s="238"/>
      <c r="W23" s="662"/>
      <c r="X23" s="663"/>
      <c r="Y23" s="505"/>
      <c r="Z23" s="506"/>
      <c r="AA23" s="666"/>
      <c r="AB23" s="667"/>
      <c r="AC23" s="248"/>
      <c r="AD23" s="249"/>
    </row>
    <row r="24" spans="3:30">
      <c r="C24" s="238"/>
      <c r="W24" s="672"/>
      <c r="X24" s="673"/>
      <c r="Y24" s="246"/>
      <c r="Z24" s="247"/>
      <c r="AA24" s="674"/>
      <c r="AB24" s="675"/>
      <c r="AC24" s="248"/>
      <c r="AD24" s="249"/>
    </row>
    <row r="25" spans="3:30">
      <c r="C25" s="238"/>
      <c r="W25" s="672"/>
      <c r="X25" s="673"/>
      <c r="Y25" s="246"/>
      <c r="Z25" s="247"/>
      <c r="AA25" s="666"/>
      <c r="AB25" s="667"/>
      <c r="AC25" s="248"/>
      <c r="AD25" s="249"/>
    </row>
    <row r="26" spans="3:30">
      <c r="C26" s="238"/>
      <c r="W26" s="490"/>
      <c r="X26" s="491"/>
      <c r="Y26" s="246"/>
      <c r="Z26" s="247"/>
      <c r="AA26" s="666"/>
      <c r="AB26" s="667"/>
      <c r="AC26" s="248"/>
      <c r="AD26" s="249"/>
    </row>
    <row r="27" spans="3:30">
      <c r="C27" s="238"/>
      <c r="W27" s="490"/>
      <c r="X27" s="491"/>
      <c r="Y27" s="246"/>
      <c r="Z27" s="247"/>
      <c r="AA27" s="670"/>
      <c r="AB27" s="671"/>
      <c r="AC27" s="248"/>
      <c r="AD27" s="249"/>
    </row>
    <row r="28" spans="3:30">
      <c r="C28" s="238"/>
      <c r="W28" s="490"/>
      <c r="X28" s="491"/>
      <c r="Y28" s="246"/>
      <c r="Z28" s="247"/>
      <c r="AA28" s="670"/>
      <c r="AB28" s="671"/>
      <c r="AC28" s="248"/>
      <c r="AD28" s="249"/>
    </row>
    <row r="29" spans="3:30">
      <c r="C29" s="238"/>
      <c r="W29" s="490"/>
      <c r="X29" s="491"/>
      <c r="Y29" s="246"/>
      <c r="Z29" s="247"/>
      <c r="AA29" s="670"/>
      <c r="AB29" s="671"/>
      <c r="AC29" s="248"/>
      <c r="AD29" s="249"/>
    </row>
    <row r="30" spans="3:30" ht="11.25" customHeight="1">
      <c r="C30" s="238"/>
      <c r="W30" s="492"/>
      <c r="X30" s="493"/>
      <c r="Y30" s="246"/>
      <c r="Z30" s="247"/>
      <c r="AA30" s="670"/>
      <c r="AB30" s="671"/>
      <c r="AC30" s="248"/>
      <c r="AD30" s="249"/>
    </row>
    <row r="31" spans="3:30">
      <c r="C31" s="238"/>
      <c r="U31" s="250"/>
      <c r="W31" s="490"/>
      <c r="X31" s="491"/>
      <c r="Y31" s="246"/>
      <c r="Z31" s="247"/>
      <c r="AA31" s="670"/>
      <c r="AB31" s="671"/>
      <c r="AC31" s="248"/>
      <c r="AD31" s="249"/>
    </row>
    <row r="32" spans="3:30">
      <c r="C32" s="238"/>
      <c r="U32" s="250"/>
      <c r="W32" s="490"/>
      <c r="X32" s="491"/>
      <c r="Y32" s="246"/>
      <c r="Z32" s="247"/>
      <c r="AA32" s="670"/>
      <c r="AB32" s="671"/>
      <c r="AC32" s="248"/>
      <c r="AD32" s="249"/>
    </row>
    <row r="33" spans="3:30">
      <c r="C33" s="238"/>
      <c r="W33" s="490"/>
      <c r="X33" s="491"/>
      <c r="Y33" s="246"/>
      <c r="Z33" s="247"/>
      <c r="AA33" s="670"/>
      <c r="AB33" s="671"/>
      <c r="AC33" s="248"/>
      <c r="AD33" s="249"/>
    </row>
    <row r="34" spans="3:30">
      <c r="C34" s="238"/>
      <c r="W34" s="490"/>
      <c r="X34" s="491"/>
      <c r="Y34" s="246"/>
      <c r="Z34" s="247"/>
      <c r="AA34" s="670"/>
      <c r="AB34" s="671"/>
      <c r="AC34" s="248"/>
      <c r="AD34" s="249"/>
    </row>
    <row r="35" spans="3:30">
      <c r="C35" s="238"/>
      <c r="W35" s="672"/>
      <c r="X35" s="685"/>
      <c r="Y35" s="246"/>
      <c r="Z35" s="247"/>
      <c r="AA35" s="670"/>
      <c r="AB35" s="671"/>
      <c r="AC35" s="248"/>
      <c r="AD35" s="249"/>
    </row>
    <row r="36" spans="3:30">
      <c r="C36" s="238"/>
      <c r="W36" s="676"/>
      <c r="X36" s="677"/>
      <c r="Y36" s="246"/>
      <c r="Z36" s="251"/>
      <c r="AA36" s="678"/>
      <c r="AB36" s="671"/>
      <c r="AC36" s="248"/>
      <c r="AD36" s="249"/>
    </row>
    <row r="37" spans="3:30" ht="12.75" customHeight="1">
      <c r="C37" s="238"/>
      <c r="W37" s="679"/>
      <c r="X37" s="680"/>
      <c r="Y37" s="246"/>
      <c r="Z37" s="251"/>
      <c r="AA37" s="681"/>
      <c r="AB37" s="682"/>
      <c r="AC37" s="252"/>
      <c r="AD37" s="253"/>
    </row>
    <row r="38" spans="3:30" ht="12.75" customHeight="1">
      <c r="C38" s="238"/>
      <c r="W38" s="679"/>
      <c r="X38" s="680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9"/>
      <c r="X39" s="680"/>
      <c r="Y39" s="254"/>
      <c r="Z39" s="257"/>
      <c r="AA39" s="683"/>
      <c r="AB39" s="684"/>
      <c r="AC39" s="252"/>
      <c r="AD39" s="253"/>
    </row>
    <row r="40" spans="3:30" ht="12" customHeight="1">
      <c r="C40" s="238"/>
      <c r="W40" s="689"/>
      <c r="X40" s="690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1"/>
      <c r="X41" s="692"/>
      <c r="Y41" s="260"/>
      <c r="Z41" s="261"/>
      <c r="AA41" s="683"/>
      <c r="AB41" s="684"/>
      <c r="AC41" s="252"/>
      <c r="AD41" s="253"/>
    </row>
    <row r="42" spans="3:30" ht="12" customHeight="1">
      <c r="C42" s="238"/>
      <c r="W42" s="693" t="s">
        <v>1459</v>
      </c>
      <c r="X42" s="694"/>
      <c r="Y42" s="694"/>
      <c r="Z42" s="694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6" t="s">
        <v>11</v>
      </c>
      <c r="X44" s="687"/>
      <c r="Y44" s="651"/>
      <c r="Z44" s="651"/>
      <c r="AA44" s="651"/>
      <c r="AB44" s="651"/>
      <c r="AC44" s="651"/>
      <c r="AD44" s="652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6" t="s">
        <v>984</v>
      </c>
      <c r="X45" s="687"/>
      <c r="Y45" s="651">
        <v>1</v>
      </c>
      <c r="Z45" s="651"/>
      <c r="AA45" s="651"/>
      <c r="AB45" s="651" t="s">
        <v>12</v>
      </c>
      <c r="AC45" s="65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6" t="s">
        <v>15</v>
      </c>
      <c r="X46" s="687"/>
      <c r="Y46" s="688"/>
      <c r="Z46" s="688"/>
      <c r="AA46" s="688"/>
      <c r="AB46" s="651" t="s">
        <v>16</v>
      </c>
      <c r="AC46" s="65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9" t="s">
        <v>17</v>
      </c>
      <c r="X47" s="699"/>
      <c r="Y47" s="699"/>
      <c r="Z47" s="699"/>
      <c r="AA47" s="699"/>
      <c r="AB47" s="699"/>
      <c r="AC47" s="699"/>
      <c r="AD47" s="70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1" t="str">
        <f>RAB!G6</f>
        <v>HERI SISWANTO</v>
      </c>
      <c r="X48" s="701"/>
      <c r="Y48" s="701"/>
      <c r="Z48" s="701"/>
      <c r="AA48" s="701"/>
      <c r="AB48" s="701"/>
      <c r="AC48" s="701"/>
      <c r="AD48" s="70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1"/>
      <c r="X49" s="701"/>
      <c r="Y49" s="701"/>
      <c r="Z49" s="701"/>
      <c r="AA49" s="701"/>
      <c r="AB49" s="701"/>
      <c r="AC49" s="701"/>
      <c r="AD49" s="70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1"/>
      <c r="X50" s="701"/>
      <c r="Y50" s="701"/>
      <c r="Z50" s="701"/>
      <c r="AA50" s="701"/>
      <c r="AB50" s="701"/>
      <c r="AC50" s="701"/>
      <c r="AD50" s="70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3"/>
      <c r="X51" s="703"/>
      <c r="Y51" s="703"/>
      <c r="Z51" s="703"/>
      <c r="AA51" s="703"/>
      <c r="AB51" s="703"/>
      <c r="AC51" s="703"/>
      <c r="AD51" s="70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6" t="s">
        <v>18</v>
      </c>
      <c r="X52" s="687"/>
      <c r="Y52" s="651" t="s">
        <v>1625</v>
      </c>
      <c r="Z52" s="651"/>
      <c r="AA52" s="651"/>
      <c r="AB52" s="651"/>
      <c r="AC52" s="651"/>
      <c r="AD52" s="65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6" t="s">
        <v>19</v>
      </c>
      <c r="X53" s="687"/>
      <c r="Y53" s="651" t="s">
        <v>1626</v>
      </c>
      <c r="Z53" s="651"/>
      <c r="AA53" s="651"/>
      <c r="AB53" s="651"/>
      <c r="AC53" s="651"/>
      <c r="AD53" s="65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6" t="s">
        <v>20</v>
      </c>
      <c r="X54" s="687"/>
      <c r="Y54" s="695" t="s">
        <v>1627</v>
      </c>
      <c r="Z54" s="695"/>
      <c r="AA54" s="695"/>
      <c r="AB54" s="651"/>
      <c r="AC54" s="651"/>
      <c r="AD54" s="65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6" t="s">
        <v>21</v>
      </c>
      <c r="X55" s="697"/>
      <c r="Y55" s="695" t="s">
        <v>1628</v>
      </c>
      <c r="Z55" s="695"/>
      <c r="AA55" s="695"/>
      <c r="AB55" s="695"/>
      <c r="AC55" s="695"/>
      <c r="AD55" s="698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X43" sqref="X43:X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5" t="s">
        <v>1531</v>
      </c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7"/>
      <c r="AD4" s="217"/>
      <c r="AE4" s="216"/>
      <c r="AF4" s="216"/>
    </row>
    <row r="5" spans="2:32" ht="13.5" customHeight="1">
      <c r="B5" s="215"/>
      <c r="C5" s="215"/>
      <c r="D5" s="708"/>
      <c r="E5" s="709"/>
      <c r="F5" s="709"/>
      <c r="G5" s="709"/>
      <c r="H5" s="709"/>
      <c r="I5" s="709"/>
      <c r="J5" s="709"/>
      <c r="K5" s="709"/>
      <c r="L5" s="709"/>
      <c r="M5" s="709"/>
      <c r="N5" s="709"/>
      <c r="O5" s="709"/>
      <c r="P5" s="709"/>
      <c r="Q5" s="709"/>
      <c r="R5" s="709"/>
      <c r="S5" s="709"/>
      <c r="T5" s="709"/>
      <c r="U5" s="709"/>
      <c r="V5" s="709"/>
      <c r="W5" s="709"/>
      <c r="X5" s="709"/>
      <c r="Y5" s="709"/>
      <c r="Z5" s="709"/>
      <c r="AA5" s="709"/>
      <c r="AB5" s="709"/>
      <c r="AC5" s="710"/>
      <c r="AD5" s="217"/>
      <c r="AE5" s="216"/>
      <c r="AF5" s="216"/>
    </row>
    <row r="6" spans="2:32" ht="12.75" customHeight="1">
      <c r="B6" s="215"/>
      <c r="C6" s="215"/>
      <c r="D6" s="708"/>
      <c r="E6" s="709"/>
      <c r="F6" s="709"/>
      <c r="G6" s="709"/>
      <c r="H6" s="709"/>
      <c r="I6" s="709"/>
      <c r="J6" s="709"/>
      <c r="K6" s="709"/>
      <c r="L6" s="709"/>
      <c r="M6" s="709"/>
      <c r="N6" s="709"/>
      <c r="O6" s="709"/>
      <c r="P6" s="709"/>
      <c r="Q6" s="709"/>
      <c r="R6" s="709"/>
      <c r="S6" s="709"/>
      <c r="T6" s="709"/>
      <c r="U6" s="709"/>
      <c r="V6" s="709"/>
      <c r="W6" s="709"/>
      <c r="X6" s="709"/>
      <c r="Y6" s="709"/>
      <c r="Z6" s="709"/>
      <c r="AA6" s="709"/>
      <c r="AB6" s="709"/>
      <c r="AC6" s="710"/>
      <c r="AE6" s="216"/>
      <c r="AF6" s="216"/>
    </row>
    <row r="7" spans="2:32" ht="12.75" customHeight="1" thickBot="1">
      <c r="B7" s="215"/>
      <c r="C7" s="215"/>
      <c r="D7" s="711"/>
      <c r="E7" s="712"/>
      <c r="F7" s="712"/>
      <c r="G7" s="712"/>
      <c r="H7" s="712"/>
      <c r="I7" s="712"/>
      <c r="J7" s="712"/>
      <c r="K7" s="712"/>
      <c r="L7" s="712"/>
      <c r="M7" s="712"/>
      <c r="N7" s="712"/>
      <c r="O7" s="712"/>
      <c r="P7" s="712"/>
      <c r="Q7" s="712"/>
      <c r="R7" s="712"/>
      <c r="S7" s="712"/>
      <c r="T7" s="712"/>
      <c r="U7" s="712"/>
      <c r="V7" s="712"/>
      <c r="W7" s="712"/>
      <c r="X7" s="712"/>
      <c r="Y7" s="712"/>
      <c r="Z7" s="712"/>
      <c r="AA7" s="712"/>
      <c r="AB7" s="712"/>
      <c r="AC7" s="71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M18" sqref="M18"/>
    </sheetView>
  </sheetViews>
  <sheetFormatPr defaultRowHeight="12.75"/>
  <cols>
    <col min="1" max="1" width="1.7109375" style="434" customWidth="1"/>
    <col min="2" max="2" width="10.7109375" style="434" customWidth="1"/>
    <col min="3" max="3" width="2.5703125" style="434" customWidth="1"/>
    <col min="4" max="20" width="9.140625" style="434"/>
    <col min="21" max="21" width="14.5703125" style="434" customWidth="1"/>
    <col min="22" max="22" width="3.140625" style="434" customWidth="1"/>
    <col min="23" max="26" width="9.140625" style="434"/>
    <col min="27" max="27" width="2.85546875" style="434" customWidth="1"/>
    <col min="28" max="30" width="4.7109375" style="434" customWidth="1"/>
    <col min="31" max="31" width="1.7109375" style="434" customWidth="1"/>
    <col min="32" max="16384" width="9.140625" style="43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9" t="s">
        <v>1530</v>
      </c>
      <c r="D3" s="709"/>
      <c r="E3" s="709"/>
      <c r="F3" s="709"/>
      <c r="G3" s="709"/>
      <c r="H3" s="709"/>
      <c r="I3" s="709"/>
      <c r="J3" s="709"/>
      <c r="K3" s="709"/>
      <c r="L3" s="709"/>
      <c r="M3" s="709"/>
      <c r="N3" s="709"/>
      <c r="O3" s="709"/>
      <c r="P3" s="709"/>
      <c r="Q3" s="709"/>
      <c r="R3" s="709"/>
      <c r="S3" s="709"/>
      <c r="T3" s="709"/>
      <c r="U3" s="709"/>
      <c r="V3" s="709"/>
      <c r="W3" s="182"/>
      <c r="X3" s="445"/>
      <c r="Y3" s="445"/>
      <c r="Z3" s="445"/>
      <c r="AA3" s="445"/>
      <c r="AB3" s="445"/>
      <c r="AC3" s="435"/>
    </row>
    <row r="4" spans="1:29" ht="18.75" customHeight="1">
      <c r="A4" s="181"/>
      <c r="C4" s="709"/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182"/>
      <c r="X4" s="445"/>
      <c r="Y4" s="445"/>
      <c r="Z4" s="445"/>
      <c r="AA4" s="445"/>
      <c r="AB4" s="445"/>
      <c r="AC4" s="435"/>
    </row>
    <row r="5" spans="1:29" ht="12.75" customHeight="1">
      <c r="A5" s="181"/>
      <c r="C5" s="436"/>
      <c r="W5" s="182"/>
    </row>
    <row r="6" spans="1:29" ht="12.75" customHeight="1">
      <c r="A6" s="181"/>
      <c r="C6" s="714"/>
      <c r="D6" s="714"/>
      <c r="E6" s="714"/>
      <c r="F6" s="714"/>
      <c r="G6" s="714"/>
      <c r="H6" s="714"/>
      <c r="I6" s="714"/>
      <c r="J6" s="714"/>
      <c r="K6" s="714"/>
      <c r="L6" s="714"/>
      <c r="M6" s="714"/>
      <c r="W6" s="182"/>
      <c r="Y6" s="437"/>
      <c r="Z6" s="437"/>
      <c r="AA6" s="437"/>
      <c r="AB6" s="438"/>
      <c r="AC6" s="438"/>
    </row>
    <row r="7" spans="1:29" ht="18" customHeight="1">
      <c r="A7" s="181"/>
      <c r="C7" s="714"/>
      <c r="D7" s="714"/>
      <c r="E7" s="714"/>
      <c r="F7" s="714"/>
      <c r="G7" s="714"/>
      <c r="H7" s="714"/>
      <c r="I7" s="714"/>
      <c r="J7" s="714"/>
      <c r="K7" s="714"/>
      <c r="L7" s="714"/>
      <c r="M7" s="714"/>
      <c r="W7" s="182"/>
      <c r="Y7" s="437"/>
      <c r="Z7" s="437"/>
      <c r="AA7" s="437"/>
      <c r="AB7" s="438"/>
      <c r="AC7" s="43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40"/>
      <c r="S54" s="440"/>
      <c r="T54" s="440"/>
      <c r="U54" s="441"/>
      <c r="V54" s="441"/>
      <c r="W54" s="183"/>
      <c r="X54" s="441"/>
      <c r="Y54" s="441"/>
      <c r="Z54" s="441"/>
      <c r="AA54" s="441"/>
      <c r="AB54" s="441"/>
      <c r="AC54" s="441"/>
      <c r="AD54" s="44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6"/>
      <c r="S55" s="447"/>
      <c r="T55" s="447"/>
      <c r="U55" s="186"/>
      <c r="V55" s="187"/>
      <c r="W55" s="188"/>
      <c r="X55" s="441"/>
      <c r="Y55" s="441"/>
      <c r="Z55" s="441"/>
      <c r="AA55" s="442"/>
      <c r="AB55" s="442"/>
      <c r="AC55" s="442"/>
      <c r="AD55" s="442"/>
    </row>
    <row r="56" spans="1:30">
      <c r="U56" s="441"/>
      <c r="V56" s="442"/>
      <c r="W56" s="441"/>
      <c r="X56" s="441"/>
      <c r="Y56" s="441"/>
      <c r="Z56" s="441"/>
      <c r="AA56" s="442"/>
      <c r="AB56" s="441"/>
      <c r="AC56" s="441"/>
      <c r="AD56" s="441"/>
    </row>
    <row r="57" spans="1:30">
      <c r="U57" s="441"/>
      <c r="V57" s="442"/>
      <c r="W57" s="441"/>
      <c r="X57" s="441"/>
      <c r="Y57" s="441"/>
      <c r="Z57" s="441"/>
      <c r="AA57" s="441"/>
      <c r="AB57" s="441"/>
      <c r="AC57" s="441"/>
      <c r="AD57" s="441"/>
    </row>
    <row r="58" spans="1:30">
      <c r="U58" s="441"/>
      <c r="V58" s="442"/>
      <c r="W58" s="441"/>
      <c r="X58" s="441"/>
      <c r="Y58" s="441"/>
      <c r="Z58" s="441"/>
      <c r="AA58" s="441"/>
      <c r="AB58" s="441"/>
      <c r="AC58" s="441"/>
      <c r="AD58" s="441"/>
    </row>
    <row r="59" spans="1:30">
      <c r="U59" s="441"/>
      <c r="V59" s="442"/>
      <c r="W59" s="441"/>
      <c r="X59" s="441"/>
      <c r="Y59" s="441"/>
      <c r="Z59" s="441"/>
      <c r="AA59" s="441"/>
      <c r="AB59" s="441"/>
      <c r="AC59" s="441"/>
      <c r="AD59" s="441"/>
    </row>
    <row r="60" spans="1:30">
      <c r="U60" s="441"/>
      <c r="V60" s="442"/>
      <c r="W60" s="441"/>
      <c r="X60" s="441"/>
      <c r="Y60" s="441"/>
      <c r="Z60" s="441"/>
      <c r="AA60" s="442"/>
      <c r="AB60" s="441"/>
      <c r="AC60" s="441"/>
      <c r="AD60" s="441"/>
    </row>
    <row r="61" spans="1:30">
      <c r="U61" s="441"/>
      <c r="V61" s="442"/>
      <c r="W61" s="441"/>
      <c r="X61" s="441"/>
      <c r="Y61" s="441"/>
      <c r="Z61" s="441"/>
      <c r="AA61" s="441"/>
      <c r="AB61" s="441"/>
      <c r="AC61" s="441"/>
      <c r="AD61" s="441"/>
    </row>
    <row r="62" spans="1:30">
      <c r="U62" s="441"/>
      <c r="V62" s="442"/>
      <c r="W62" s="441"/>
      <c r="X62" s="441"/>
      <c r="Y62" s="441"/>
      <c r="Z62" s="441"/>
      <c r="AA62" s="441"/>
      <c r="AB62" s="441"/>
      <c r="AC62" s="441"/>
      <c r="AD62" s="441"/>
    </row>
    <row r="63" spans="1:30">
      <c r="U63" s="441"/>
      <c r="V63" s="442"/>
      <c r="W63" s="441"/>
      <c r="X63" s="441"/>
      <c r="Y63" s="441"/>
      <c r="Z63" s="441"/>
      <c r="AA63" s="441"/>
      <c r="AB63" s="441"/>
      <c r="AC63" s="441"/>
      <c r="AD63" s="441"/>
    </row>
    <row r="64" spans="1:30">
      <c r="U64" s="441"/>
      <c r="V64" s="442"/>
      <c r="W64" s="441"/>
      <c r="X64" s="441"/>
      <c r="Y64" s="441"/>
      <c r="Z64" s="441"/>
      <c r="AA64" s="441"/>
      <c r="AB64" s="441"/>
      <c r="AC64" s="441"/>
      <c r="AD64" s="441"/>
    </row>
    <row r="65" spans="5:30">
      <c r="U65" s="441"/>
      <c r="V65" s="442"/>
      <c r="W65" s="441"/>
      <c r="X65" s="441"/>
      <c r="Y65" s="441"/>
      <c r="Z65" s="441"/>
      <c r="AA65" s="441"/>
      <c r="AB65" s="441"/>
      <c r="AC65" s="441"/>
      <c r="AD65" s="441"/>
    </row>
    <row r="66" spans="5:30" ht="6" customHeight="1"/>
    <row r="73" spans="5:30">
      <c r="M73" s="443"/>
    </row>
    <row r="74" spans="5:30" ht="15" customHeight="1">
      <c r="E74" s="444"/>
      <c r="M74" s="443"/>
    </row>
    <row r="75" spans="5:30" ht="15" customHeight="1">
      <c r="E75" s="444"/>
      <c r="M75" s="443"/>
    </row>
    <row r="76" spans="5:30" ht="15" customHeight="1">
      <c r="E76" s="444"/>
      <c r="M76" s="443"/>
    </row>
    <row r="77" spans="5:30" ht="15" customHeight="1">
      <c r="E77" s="444"/>
      <c r="M77" s="443"/>
    </row>
    <row r="78" spans="5:30" ht="15" customHeight="1">
      <c r="E78" s="444"/>
      <c r="M78" s="443"/>
    </row>
    <row r="79" spans="5:30" ht="15" customHeight="1">
      <c r="E79" s="444"/>
      <c r="M79" s="443"/>
    </row>
    <row r="80" spans="5:30" ht="15" customHeight="1">
      <c r="E80" s="444"/>
      <c r="M80" s="443"/>
    </row>
    <row r="81" spans="5:13" ht="15" customHeight="1">
      <c r="E81" s="444"/>
      <c r="M81" s="443"/>
    </row>
    <row r="82" spans="5:13" ht="15" customHeight="1">
      <c r="E82" s="444"/>
      <c r="M82" s="443"/>
    </row>
    <row r="83" spans="5:13" ht="15" customHeight="1">
      <c r="E83" s="444"/>
      <c r="M83" s="443"/>
    </row>
    <row r="84" spans="5:13" ht="15" customHeight="1">
      <c r="E84" s="444"/>
      <c r="M84" s="443"/>
    </row>
    <row r="85" spans="5:13" ht="15" customHeight="1">
      <c r="E85" s="444"/>
      <c r="M85" s="443"/>
    </row>
    <row r="86" spans="5:13" ht="15" customHeight="1">
      <c r="E86" s="444"/>
      <c r="M86" s="443"/>
    </row>
    <row r="87" spans="5:13" ht="15" customHeight="1">
      <c r="E87" s="444"/>
      <c r="M87" s="443"/>
    </row>
    <row r="88" spans="5:13" ht="15" customHeight="1">
      <c r="E88" s="444"/>
      <c r="M88" s="443"/>
    </row>
    <row r="89" spans="5:13" ht="15" customHeight="1">
      <c r="E89" s="444"/>
      <c r="M89" s="443"/>
    </row>
    <row r="90" spans="5:13" ht="15" customHeight="1">
      <c r="E90" s="444"/>
      <c r="M90" s="443"/>
    </row>
    <row r="91" spans="5:13" ht="15" customHeight="1">
      <c r="E91" s="444"/>
      <c r="M91" s="443"/>
    </row>
    <row r="92" spans="5:13" ht="15" customHeight="1">
      <c r="E92" s="444"/>
      <c r="M92" s="443"/>
    </row>
    <row r="93" spans="5:13" ht="15" customHeight="1">
      <c r="E93" s="444"/>
      <c r="M93" s="443"/>
    </row>
    <row r="94" spans="5:13" ht="15" customHeight="1">
      <c r="E94" s="444"/>
      <c r="M94" s="443"/>
    </row>
    <row r="95" spans="5:13" ht="15" customHeight="1">
      <c r="E95" s="444"/>
      <c r="M95" s="443"/>
    </row>
    <row r="96" spans="5:13" ht="15" customHeight="1">
      <c r="E96" s="444"/>
    </row>
    <row r="97" spans="5:5" ht="15" customHeight="1">
      <c r="E97" s="444"/>
    </row>
    <row r="98" spans="5:5" ht="15" customHeight="1">
      <c r="E98" s="444"/>
    </row>
    <row r="99" spans="5:5" ht="15" customHeight="1">
      <c r="E99" s="444"/>
    </row>
    <row r="100" spans="5:5" ht="15" customHeight="1">
      <c r="E100" s="444"/>
    </row>
    <row r="101" spans="5:5" ht="15" customHeight="1">
      <c r="E101" s="444"/>
    </row>
    <row r="102" spans="5:5" ht="15" customHeight="1">
      <c r="E102" s="444"/>
    </row>
    <row r="103" spans="5:5" ht="15" customHeight="1">
      <c r="E103" s="444"/>
    </row>
    <row r="104" spans="5:5" ht="15" customHeight="1">
      <c r="E104" s="444"/>
    </row>
    <row r="105" spans="5:5" ht="15" customHeight="1">
      <c r="E105" s="444"/>
    </row>
    <row r="106" spans="5:5" ht="15" customHeight="1">
      <c r="E106" s="444"/>
    </row>
    <row r="107" spans="5:5" ht="15" customHeight="1">
      <c r="E107" s="444"/>
    </row>
    <row r="108" spans="5:5" ht="15" customHeight="1">
      <c r="E108" s="444"/>
    </row>
    <row r="109" spans="5:5" ht="15" customHeight="1">
      <c r="E109" s="444"/>
    </row>
    <row r="110" spans="5:5" ht="15" customHeight="1">
      <c r="E110" s="444"/>
    </row>
    <row r="111" spans="5:5" ht="15" customHeight="1">
      <c r="E111" s="444"/>
    </row>
    <row r="112" spans="5:5" ht="15" customHeight="1">
      <c r="E112" s="444"/>
    </row>
    <row r="113" spans="5:5" ht="15" customHeight="1">
      <c r="E113" s="444"/>
    </row>
    <row r="114" spans="5:5" ht="15" customHeight="1">
      <c r="E114" s="444"/>
    </row>
    <row r="115" spans="5:5" ht="15" customHeight="1">
      <c r="E115" s="444"/>
    </row>
    <row r="116" spans="5:5" ht="15" customHeight="1">
      <c r="E116" s="444"/>
    </row>
    <row r="117" spans="5:5" ht="15" customHeight="1">
      <c r="E117" s="444"/>
    </row>
    <row r="118" spans="5:5" ht="15" customHeight="1">
      <c r="E118" s="444"/>
    </row>
    <row r="119" spans="5:5" ht="15" customHeight="1">
      <c r="E119" s="444"/>
    </row>
    <row r="120" spans="5:5">
      <c r="E120" s="44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6">
        <v>1</v>
      </c>
    </row>
    <row r="2" spans="1:11" ht="48" customHeight="1">
      <c r="A2" s="466">
        <v>3</v>
      </c>
    </row>
    <row r="4" spans="1:11" ht="48" customHeight="1">
      <c r="C4" s="466">
        <v>1</v>
      </c>
    </row>
    <row r="5" spans="1:11" ht="48" customHeight="1">
      <c r="C5" s="466">
        <v>3</v>
      </c>
    </row>
    <row r="7" spans="1:11" ht="48" customHeight="1">
      <c r="E7" s="466">
        <v>1</v>
      </c>
    </row>
    <row r="8" spans="1:11" ht="48" customHeight="1">
      <c r="E8" s="466">
        <v>3</v>
      </c>
    </row>
    <row r="10" spans="1:11" ht="48" customHeight="1">
      <c r="G10" s="466">
        <v>3</v>
      </c>
    </row>
    <row r="11" spans="1:11" ht="48" customHeight="1">
      <c r="G11" s="466">
        <v>1</v>
      </c>
    </row>
    <row r="13" spans="1:11" ht="48" customHeight="1">
      <c r="I13" s="466">
        <v>3</v>
      </c>
    </row>
    <row r="14" spans="1:11" ht="48" customHeight="1">
      <c r="I14" s="466">
        <v>1</v>
      </c>
    </row>
    <row r="16" spans="1:11" ht="48" customHeight="1">
      <c r="K16" s="466">
        <v>3</v>
      </c>
    </row>
    <row r="17" spans="11:21" ht="48" customHeight="1">
      <c r="K17" s="466">
        <v>1</v>
      </c>
    </row>
    <row r="19" spans="11:21" ht="48" customHeight="1">
      <c r="M19" s="466">
        <v>3</v>
      </c>
    </row>
    <row r="20" spans="11:21" ht="48" customHeight="1">
      <c r="M20" s="466">
        <v>1</v>
      </c>
    </row>
    <row r="22" spans="11:21" ht="48" customHeight="1">
      <c r="O22" s="466">
        <v>3</v>
      </c>
    </row>
    <row r="23" spans="11:21" ht="48" customHeight="1">
      <c r="O23" s="466">
        <v>1</v>
      </c>
    </row>
    <row r="25" spans="11:21" ht="57" customHeight="1">
      <c r="Q25" s="466">
        <v>3</v>
      </c>
    </row>
    <row r="26" spans="11:21" ht="57" customHeight="1">
      <c r="Q26" s="466">
        <v>1</v>
      </c>
    </row>
    <row r="28" spans="11:21" ht="57" customHeight="1">
      <c r="S28" s="466">
        <v>3</v>
      </c>
    </row>
    <row r="29" spans="11:21" ht="57" customHeight="1">
      <c r="S29" s="466">
        <v>1</v>
      </c>
    </row>
    <row r="31" spans="11:21" ht="57" customHeight="1">
      <c r="U31" s="466">
        <v>3</v>
      </c>
    </row>
    <row r="32" spans="11:21" ht="57" customHeight="1">
      <c r="U32" s="4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2023-11-14T03:53:02Z</cp:lastPrinted>
  <dcterms:created xsi:type="dcterms:W3CDTF">2011-02-06T11:57:38Z</dcterms:created>
  <dcterms:modified xsi:type="dcterms:W3CDTF">2023-11-14T03:55:31Z</dcterms:modified>
</cp:coreProperties>
</file>