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BPD\MOM\3. BP KURANG DR INVESTASI (PP LBH DR 5 TH)\HJ KASMI\"/>
    </mc:Choice>
  </mc:AlternateContent>
  <xr:revisionPtr revIDLastSave="0" documentId="8_{69595F50-EA97-4C0A-BAE5-B5CEC3A4D188}" xr6:coauthVersionLast="47" xr6:coauthVersionMax="47" xr10:uidLastSave="{00000000-0000-0000-0000-000000000000}"/>
  <bookViews>
    <workbookView xWindow="-120" yWindow="-120" windowWidth="24240" windowHeight="13140" tabRatio="859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RAB!$A$1:$K$53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27" i="11"/>
  <c r="F25" i="11"/>
  <c r="F24" i="11"/>
  <c r="F23" i="11"/>
  <c r="G28" i="11"/>
  <c r="D28" i="11"/>
  <c r="H28" i="11" s="1"/>
  <c r="E28" i="11"/>
  <c r="D21" i="11"/>
  <c r="J21" i="11" s="1"/>
  <c r="E21" i="11"/>
  <c r="G21" i="11"/>
  <c r="J28" i="11" l="1"/>
  <c r="I28" i="11"/>
  <c r="I21" i="11"/>
  <c r="H21" i="11"/>
  <c r="K21" i="11" s="1"/>
  <c r="K28" i="11" l="1"/>
  <c r="D19" i="11" l="1"/>
  <c r="H19" i="11" s="1"/>
  <c r="E19" i="11"/>
  <c r="G19" i="11"/>
  <c r="D20" i="11"/>
  <c r="J20" i="11" s="1"/>
  <c r="E20" i="11"/>
  <c r="G20" i="11"/>
  <c r="D30" i="11"/>
  <c r="J30" i="11" s="1"/>
  <c r="E30" i="11"/>
  <c r="G30" i="11"/>
  <c r="D31" i="11"/>
  <c r="H31" i="11" s="1"/>
  <c r="E31" i="11"/>
  <c r="G31" i="11"/>
  <c r="J19" i="11" l="1"/>
  <c r="I19" i="11"/>
  <c r="I20" i="11"/>
  <c r="H20" i="11"/>
  <c r="J31" i="11"/>
  <c r="I31" i="11"/>
  <c r="I30" i="11"/>
  <c r="H30" i="11"/>
  <c r="K20" i="11" l="1"/>
  <c r="K19" i="11"/>
  <c r="K31" i="11"/>
  <c r="K30" i="11"/>
  <c r="G22" i="11"/>
  <c r="G23" i="11"/>
  <c r="G24" i="11"/>
  <c r="G25" i="11"/>
  <c r="G26" i="11"/>
  <c r="G27" i="11"/>
  <c r="D22" i="11"/>
  <c r="H22" i="11" s="1"/>
  <c r="E22" i="11"/>
  <c r="J23" i="11"/>
  <c r="E23" i="11"/>
  <c r="D24" i="11"/>
  <c r="I24" i="11" s="1"/>
  <c r="E24" i="11"/>
  <c r="E25" i="11"/>
  <c r="D26" i="11"/>
  <c r="E26" i="11"/>
  <c r="D27" i="11"/>
  <c r="E27" i="11"/>
  <c r="H26" i="11" l="1"/>
  <c r="J27" i="11"/>
  <c r="H25" i="11"/>
  <c r="I23" i="11"/>
  <c r="I27" i="11"/>
  <c r="H24" i="11"/>
  <c r="J22" i="11"/>
  <c r="J26" i="11"/>
  <c r="H27" i="11"/>
  <c r="I26" i="11"/>
  <c r="J25" i="11"/>
  <c r="H23" i="11"/>
  <c r="I22" i="11"/>
  <c r="I25" i="11"/>
  <c r="J24" i="11"/>
  <c r="K25" i="11" l="1"/>
  <c r="K24" i="11"/>
  <c r="K23" i="11"/>
  <c r="K22" i="11"/>
  <c r="K27" i="11"/>
  <c r="K26" i="11"/>
  <c r="D32" i="11" l="1"/>
  <c r="H32" i="11" s="1"/>
  <c r="E32" i="11"/>
  <c r="G32" i="11"/>
  <c r="I32" i="11" l="1"/>
  <c r="J32" i="11"/>
  <c r="C6" i="62"/>
  <c r="D15" i="11"/>
  <c r="J15" i="11" s="1"/>
  <c r="E15" i="11"/>
  <c r="G15" i="11"/>
  <c r="D17" i="11"/>
  <c r="H17" i="11" s="1"/>
  <c r="E17" i="11"/>
  <c r="G17" i="11"/>
  <c r="D18" i="11"/>
  <c r="J18" i="11" s="1"/>
  <c r="E18" i="11"/>
  <c r="G18" i="11"/>
  <c r="K32" i="11" l="1"/>
  <c r="I15" i="11"/>
  <c r="H15" i="11"/>
  <c r="J17" i="11"/>
  <c r="I17" i="11"/>
  <c r="I18" i="11"/>
  <c r="H18" i="11"/>
  <c r="K15" i="11" l="1"/>
  <c r="K17" i="11"/>
  <c r="K18" i="11"/>
  <c r="G6" i="11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3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33" i="11"/>
  <c r="D34" i="11"/>
  <c r="H34" i="11" s="1"/>
  <c r="E3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3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4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3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34" i="11"/>
  <c r="I3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34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7" i="29"/>
  <c r="F58" i="39"/>
  <c r="E58" i="39"/>
  <c r="F60" i="39" s="1"/>
  <c r="H36" i="11"/>
  <c r="H37" i="11" s="1"/>
  <c r="I36" i="11"/>
  <c r="I37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00" i="29" l="1"/>
  <c r="F320" i="29"/>
  <c r="F345" i="29"/>
  <c r="F238" i="29"/>
  <c r="F294" i="29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38" i="11"/>
  <c r="I38" i="11"/>
  <c r="F364" i="29"/>
  <c r="F69" i="39"/>
  <c r="F72" i="39"/>
  <c r="F367" i="29"/>
  <c r="J33" i="11"/>
  <c r="K33" i="11" s="1"/>
  <c r="K36" i="11" s="1"/>
  <c r="K37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36" i="11"/>
  <c r="J37" i="11" s="1"/>
  <c r="K38" i="11"/>
  <c r="B39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3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90" i="41" l="1"/>
  <c r="F810" i="41"/>
  <c r="F835" i="41"/>
  <c r="F728" i="41"/>
  <c r="F784" i="4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<sst xmlns="http://schemas.openxmlformats.org/spreadsheetml/2006/main" count="4700" uniqueCount="1627">
  <si>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</si>
  <si>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</si>
  <si>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</si>
  <si>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</si>
  <si>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</si>
  <si>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</si>
  <si>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</si>
  <si>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</si>
  <si>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</si>
  <si>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</si>
  <si>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</si>
  <si>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</si>
  <si>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</si>
  <si>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</si>
  <si>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</si>
  <si>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</si>
  <si>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</si>
  <si>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</si>
  <si>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</si>
  <si>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</si>
  <si>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</si>
  <si>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</si>
  <si>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</si>
  <si>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</si>
  <si>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</si>
  <si>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</si>
  <si>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</si>
  <si>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</si>
  <si>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</si>
  <si>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</si>
  <si>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</si>
  <si>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</si>
  <si>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</si>
  <si>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</si>
  <si>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</si>
  <si>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</si>
  <si>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</si>
  <si>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</si>
  <si>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</si>
  <si>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</si>
  <si>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</si>
  <si>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</si>
  <si>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</si>
  <si>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</si>
  <si>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</si>
  <si>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</si>
  <si>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</si>
  <si>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</si>
  <si>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</si>
  <si>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</si>
  <si>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</si>
  <si>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</si>
  <si>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</si>
  <si>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</si>
  <si>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</si>
  <si>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</si>
  <si>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</si>
  <si>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</si>
  <si>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</si>
  <si>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</si>
  <si>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</si>
  <si>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</si>
  <si>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</si>
  <si>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</si>
  <si>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</si>
  <si>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</si>
  <si>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</si>
  <si>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</si>
  <si>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</si>
  <si>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</si>
  <si>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</si>
  <si>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</si>
  <si>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</si>
  <si>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</si>
  <si>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</si>
  <si>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</si>
  <si>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</si>
  <si>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</si>
  <si>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</si>
  <si>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</si>
  <si>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</si>
  <si>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</si>
  <si>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</si>
  <si>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</si>
  <si>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</si>
  <si>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</si>
  <si>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</si>
  <si>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</si>
  <si>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</si>
  <si>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</si>
  <si>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</si>
  <si>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</si>
  <si>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</si>
  <si>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</si>
  <si>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</si>
  <si>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</si>
  <si>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</si>
  <si>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</si>
  <si>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</si>
  <si>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</si>
  <si>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</si>
  <si>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</si>
  <si>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</si>
  <si>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</si>
  <si>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</si>
  <si>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</si>
  <si>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</si>
  <si>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</si>
  <si>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</si>
  <si>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</si>
  <si>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</si>
  <si>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</si>
  <si>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</si>
  <si>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</si>
  <si>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</si>
  <si>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</si>
  <si>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</si>
  <si>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</si>
  <si>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</si>
  <si>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</si>
  <si>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</si>
  <si>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</si>
  <si>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</si>
  <si>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</si>
  <si>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</si>
  <si>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</si>
  <si>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</si>
  <si>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</si>
  <si>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</si>
  <si>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</si>
  <si>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</si>
  <si>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</si>
  <si>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</si>
  <si>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</si>
  <si>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</si>
  <si>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</si>
  <si>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</si>
  <si>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</si>
  <si>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</si>
  <si>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</si>
  <si>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</si>
  <si>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</si>
  <si>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</si>
  <si>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</si>
  <si>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</si>
  <si>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</si>
  <si>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</si>
  <si>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</si>
  <si>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</si>
  <si>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</si>
  <si>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</si>
  <si>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</si>
  <si>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</si>
  <si>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</si>
  <si>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</si>
  <si>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</si>
  <si>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</si>
  <si>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</si>
  <si>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</si>
  <si>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</si>
  <si>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</si>
  <si>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</si>
  <si>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</si>
  <si>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</si>
  <si>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</si>
  <si>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</si>
  <si>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</si>
  <si>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</si>
  <si>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</si>
  <si>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</si>
  <si>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</si>
  <si>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</si>
  <si>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</si>
  <si>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</si>
  <si>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</si>
  <si>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</si>
  <si>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</si>
  <si>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</si>
  <si>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</si>
  <si>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</si>
  <si>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</si>
  <si>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</si>
  <si>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</si>
  <si>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</si>
  <si>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</si>
  <si>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</si>
  <si>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</si>
  <si>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</si>
  <si>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</si>
  <si>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</si>
  <si>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</si>
  <si>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</si>
  <si>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</si>
  <si>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</si>
  <si>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</si>
  <si>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</si>
  <si>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</si>
  <si>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</si>
  <si>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</si>
  <si>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</si>
  <si>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</si>
  <si>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</si>
  <si>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</si>
  <si>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</si>
  <si>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</si>
  <si>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</si>
  <si>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</si>
  <si>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</si>
  <si>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</si>
  <si>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</si>
  <si>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</si>
  <si>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</si>
  <si>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</si>
  <si>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</si>
  <si>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</si>
  <si>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</si>
  <si>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</si>
  <si>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</si>
  <si>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</si>
  <si>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</si>
  <si>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</si>
  <si>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</si>
  <si>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</si>
  <si>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</si>
  <si>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</si>
  <si>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</si>
  <si>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</si>
  <si>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</si>
  <si>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</si>
  <si>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</si>
  <si>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</si>
  <si>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</si>
  <si>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</si>
  <si>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</si>
  <si>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</si>
  <si>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</si>
  <si>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</si>
  <si>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</si>
  <si>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</si>
  <si>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</si>
  <si>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</si>
  <si>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</si>
  <si>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</si>
  <si>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</si>
  <si>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</si>
  <si>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</si>
  <si>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</si>
  <si>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</si>
  <si>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</si>
  <si>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</si>
  <si>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</si>
  <si>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</si>
  <si>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</si>
  <si>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</si>
  <si>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</si>
  <si>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</si>
  <si>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</si>
  <si>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</si>
  <si>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</si>
  <si>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</si>
  <si>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</si>
  <si>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</si>
  <si>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</si>
  <si>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</si>
  <si>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</si>
  <si>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</si>
  <si>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</si>
  <si>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</si>
  <si>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</si>
  <si>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</si>
  <si>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</si>
  <si>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</si>
  <si>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</si>
  <si>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</si>
  <si>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</si>
  <si>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</si>
  <si>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</si>
  <si>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</si>
  <si>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</si>
  <si>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</si>
  <si>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</si>
  <si>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</si>
  <si>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</si>
  <si>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</si>
  <si>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</si>
  <si>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</si>
  <si>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</si>
  <si>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</si>
  <si>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</si>
  <si>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</si>
  <si>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</si>
  <si>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</si>
  <si>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</si>
  <si>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</si>
  <si>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</si>
  <si>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</si>
  <si>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</si>
  <si>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</si>
  <si>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</si>
  <si>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</si>
  <si>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</si>
  <si>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</si>
  <si>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</si>
  <si>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</si>
  <si>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</si>
  <si>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</si>
  <si>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</si>
  <si>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</si>
  <si>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</si>
  <si>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</si>
  <si>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</si>
  <si>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</si>
  <si>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</si>
  <si>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</si>
  <si>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</si>
  <si>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</si>
  <si>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</si>
  <si>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</si>
  <si>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</si>
  <si>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</si>
  <si>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</si>
  <si>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</si>
  <si>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</si>
  <si>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</si>
  <si>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</si>
  <si>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</si>
  <si>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</si>
  <si>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</si>
  <si>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</si>
  <si>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</si>
  <si>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</si>
  <si>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</si>
  <si>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</si>
  <si>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</si>
  <si>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</si>
  <si>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</si>
  <si>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</si>
  <si>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</si>
  <si>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</si>
  <si>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</si>
  <si>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</si>
  <si>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</si>
  <si>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</si>
  <si>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</si>
  <si>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</si>
  <si>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</si>
  <si>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</si>
  <si>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</si>
  <si>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</si>
  <si>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</si>
  <si>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</si>
  <si>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</si>
  <si>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</si>
  <si>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</si>
  <si>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</si>
  <si>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</si>
  <si>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</si>
  <si>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</si>
  <si>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</si>
  <si>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</si>
  <si>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</si>
  <si>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</si>
  <si>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</si>
  <si>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</si>
  <si>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</si>
  <si>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</si>
  <si>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</si>
  <si>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</si>
  <si>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</si>
  <si>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</si>
  <si>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</si>
  <si>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</si>
  <si>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</si>
  <si>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</si>
  <si>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</si>
  <si>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</si>
  <si>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</si>
  <si>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</si>
  <si>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</si>
  <si>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</si>
  <si>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</si>
  <si>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</si>
  <si>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</si>
  <si>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</si>
  <si>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</si>
  <si>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</si>
  <si>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</si>
  <si>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</si>
  <si>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</si>
  <si>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</si>
  <si>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</si>
  <si>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</si>
  <si>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</si>
  <si>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</si>
  <si>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</si>
  <si>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</si>
  <si>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</si>
  <si>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</si>
  <si>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</si>
  <si>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</si>
  <si>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</si>
  <si>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</si>
  <si>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</si>
  <si>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</si>
  <si>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</si>
  <si>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</si>
  <si>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</si>
  <si>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</si>
  <si>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</si>
  <si>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</si>
  <si>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</si>
  <si>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</si>
  <si>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</si>
  <si>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</si>
  <si>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</si>
  <si>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</si>
  <si>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</si>
  <si>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</si>
  <si>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</si>
  <si>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</si>
  <si>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</si>
  <si>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</si>
  <si>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</si>
  <si>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</si>
  <si>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</si>
  <si>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</si>
  <si>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</si>
  <si>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</si>
  <si>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</si>
  <si>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</si>
  <si>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</si>
  <si>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</si>
  <si>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</si>
  <si>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</si>
  <si>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</si>
  <si>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</si>
  <si>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</si>
  <si>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</si>
  <si>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</si>
  <si>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</si>
  <si>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</si>
  <si>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</si>
  <si>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</si>
  <si>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</si>
  <si>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</si>
  <si>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</si>
  <si>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</si>
  <si>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</si>
  <si>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</si>
  <si>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</si>
  <si>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</si>
  <si>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</si>
  <si>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</si>
  <si>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</si>
  <si>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</si>
  <si>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</si>
  <si>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</si>
  <si>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</si>
  <si>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</si>
  <si>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</si>
  <si>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</si>
  <si>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</si>
  <si>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</si>
  <si>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</si>
  <si>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</si>
  <si>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</si>
  <si>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</si>
  <si>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</si>
  <si>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</si>
  <si>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</si>
  <si>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</si>
  <si>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</si>
  <si>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</si>
  <si>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</si>
  <si>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</si>
  <si>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</si>
  <si>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</si>
  <si>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</si>
  <si>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</si>
  <si>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</si>
  <si>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</si>
  <si>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</si>
  <si>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</si>
  <si>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</si>
  <si>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</si>
  <si>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</si>
  <si>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</si>
  <si>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</si>
  <si>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</si>
  <si>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</si>
  <si>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</si>
  <si>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</si>
  <si>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</si>
  <si>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</si>
  <si>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</si>
  <si>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</si>
  <si>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</si>
  <si>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</si>
  <si>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</si>
  <si>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</si>
  <si>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</si>
  <si>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</si>
  <si>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</si>
  <si>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</si>
  <si>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</si>
  <si>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</si>
  <si>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</si>
  <si>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</si>
  <si>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</si>
  <si>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</si>
  <si>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</si>
  <si>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</si>
  <si>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</si>
  <si>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</si>
  <si>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</si>
  <si>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</si>
  <si>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</si>
  <si>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</si>
  <si>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</si>
  <si>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</si>
  <si>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</si>
  <si>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</si>
  <si>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</si>
  <si>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</si>
  <si>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</si>
  <si>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</si>
  <si>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</si>
  <si>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</si>
  <si>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</si>
  <si>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</si>
  <si>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</si>
  <si>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</si>
  <si>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</si>
  <si>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</si>
  <si>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</si>
  <si>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</si>
  <si>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</si>
  <si>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</si>
  <si>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</si>
  <si>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</si>
  <si>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</si>
  <si>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</si>
  <si>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</si>
  <si>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</si>
  <si>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</si>
  <si>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</si>
  <si>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</si>
  <si>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</si>
  <si>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</si>
  <si>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</si>
  <si>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</si>
  <si>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</si>
  <si>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</si>
  <si>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</si>
  <si>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</si>
  <si>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</si>
  <si>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</si>
  <si>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</si>
  <si>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</si>
  <si>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</si>
  <si>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</si>
  <si>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</si>
  <si>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</si>
  <si>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</si>
  <si>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</si>
  <si>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</si>
  <si>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</si>
  <si>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</si>
  <si>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</si>
  <si>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</si>
  <si>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</si>
  <si>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</si>
  <si>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</si>
  <si>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</si>
  <si>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</si>
  <si>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</si>
  <si>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</si>
  <si>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</si>
  <si>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</si>
  <si>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</si>
  <si>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</si>
  <si>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</si>
  <si>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</si>
  <si>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</si>
  <si>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</si>
  <si>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</si>
  <si>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</si>
  <si>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</si>
  <si>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</si>
  <si>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</si>
  <si>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</si>
  <si>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</si>
  <si>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</si>
  <si>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</si>
  <si>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</si>
  <si>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</si>
  <si>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</si>
  <si>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</si>
  <si>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</si>
  <si>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</si>
  <si>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</si>
  <si>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</si>
  <si>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</si>
  <si>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</si>
  <si>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</si>
  <si>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</si>
  <si>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</si>
  <si>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</si>
  <si>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</si>
  <si>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</si>
  <si>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</si>
  <si>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</si>
  <si>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</si>
  <si>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</si>
  <si>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</si>
  <si>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</si>
  <si>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</si>
  <si>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</si>
  <si>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</si>
  <si>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</si>
  <si>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</si>
  <si>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</si>
  <si>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</si>
  <si>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</si>
  <si>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</si>
  <si>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</si>
  <si>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</si>
  <si>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</si>
  <si>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</si>
  <si>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</si>
  <si>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</si>
  <si>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</si>
  <si>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</si>
  <si>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</si>
  <si>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</si>
  <si>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</si>
  <si>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</si>
  <si>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</si>
  <si>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</si>
  <si>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</si>
  <si>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</si>
  <si>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</si>
  <si>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</si>
  <si>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</si>
  <si>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</si>
  <si>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</si>
  <si>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</si>
  <si>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</si>
  <si>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</si>
  <si>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</si>
  <si>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</si>
  <si>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</si>
  <si>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</si>
  <si>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</si>
  <si>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</si>
  <si>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</si>
  <si>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</si>
  <si>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</si>
  <si>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</si>
  <si>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</si>
  <si>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</si>
  <si>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</si>
  <si>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</si>
  <si>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</si>
  <si>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</si>
  <si>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</si>
  <si>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</si>
  <si>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</si>
  <si>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</si>
  <si>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</si>
  <si>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</si>
  <si>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</si>
  <si>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</si>
  <si>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</si>
  <si>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</si>
  <si>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</si>
  <si>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</si>
  <si>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</si>
  <si>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</si>
  <si>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</si>
  <si>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</si>
  <si>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</si>
  <si>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</si>
  <si>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</si>
  <si>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</si>
  <si>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</si>
  <si>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</si>
  <si>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</si>
  <si>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</si>
  <si>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</si>
  <si>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</si>
  <si>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</si>
  <si>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</si>
  <si>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</si>
  <si>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</si>
  <si>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</si>
  <si>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</si>
  <si>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</si>
  <si>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</si>
  <si>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</si>
  <si>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</si>
  <si>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</si>
  <si>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</si>
  <si>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</si>
  <si>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</si>
  <si>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</si>
  <si>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</si>
  <si>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</si>
  <si>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</si>
  <si>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</si>
  <si>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</si>
  <si>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</si>
  <si>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</si>
  <si>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</si>
  <si>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</si>
  <si>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</si>
  <si>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</si>
  <si>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</si>
  <si>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</si>
  <si>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</si>
  <si>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</si>
  <si>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</si>
  <si>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</si>
  <si>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</si>
  <si>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</si>
  <si>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</si>
  <si>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</si>
  <si>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</si>
  <si>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</si>
  <si>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</si>
  <si>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</si>
  <si>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</si>
  <si>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</si>
  <si>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</si>
  <si>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</si>
  <si>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</si>
  <si>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</si>
  <si>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</si>
  <si>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</si>
  <si>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</si>
  <si>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</si>
  <si>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</si>
  <si>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</si>
  <si>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</si>
  <si>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</si>
  <si>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</si>
  <si>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</si>
  <si>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</si>
  <si>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</si>
  <si>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</si>
  <si>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</si>
  <si>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</si>
  <si>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</si>
  <si>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</si>
  <si>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</si>
  <si>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</si>
  <si>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</si>
  <si>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</si>
  <si>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</si>
  <si>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</si>
  <si>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</si>
  <si>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</si>
  <si>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</si>
  <si>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</si>
  <si>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</si>
  <si>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</si>
  <si>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</si>
  <si>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</si>
  <si>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</si>
  <si>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</si>
  <si>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</si>
  <si>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</si>
  <si>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</si>
  <si>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</si>
  <si>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</si>
  <si>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</si>
  <si>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</si>
  <si>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</si>
  <si>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</si>
  <si>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</si>
  <si>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</si>
  <si>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</si>
  <si>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</si>
  <si>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</si>
  <si>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</si>
  <si>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</si>
  <si>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</si>
  <si>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</si>
  <si>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</si>
  <si>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</si>
  <si>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</si>
  <si>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</si>
  <si>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</si>
  <si>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</si>
  <si>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</si>
  <si>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</si>
  <si>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</si>
  <si>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</si>
  <si>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</si>
  <si>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</si>
  <si>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</si>
  <si>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</si>
  <si>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</si>
  <si>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</si>
  <si>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</si>
  <si>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</si>
  <si>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</si>
  <si>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</si>
  <si>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</si>
  <si>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</si>
  <si>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</si>
  <si>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</si>
  <si>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</si>
  <si>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</si>
  <si>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</si>
  <si>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</si>
  <si>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</si>
  <si>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</si>
  <si>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</si>
  <si>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</si>
  <si>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</si>
  <si>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</si>
  <si>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</si>
  <si>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</si>
  <si>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</si>
  <si>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</si>
  <si>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</si>
  <si>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</si>
  <si>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</si>
  <si>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</si>
  <si>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</si>
  <si>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</si>
  <si>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</si>
  <si>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</si>
  <si>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</si>
  <si>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</si>
  <si>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</si>
  <si>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</si>
  <si>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</si>
  <si>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</si>
  <si>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</si>
  <si>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</si>
  <si>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</si>
  <si>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</si>
  <si>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</si>
  <si>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</si>
  <si>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</si>
  <si>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</si>
  <si>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</si>
  <si>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</si>
  <si>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</si>
  <si>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</si>
  <si>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</si>
  <si>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</si>
  <si>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</si>
  <si>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</si>
  <si>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</si>
  <si>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</si>
  <si>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</si>
  <si>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</si>
  <si>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</si>
  <si>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</si>
  <si>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</si>
  <si>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</si>
  <si>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</si>
  <si>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</si>
  <si>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</si>
  <si>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</si>
  <si>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</si>
  <si>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</si>
  <si>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</si>
  <si>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</si>
  <si>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</si>
  <si>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</si>
  <si>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</si>
  <si>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</si>
  <si>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</si>
  <si>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</si>
  <si>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</si>
  <si>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</si>
  <si>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</si>
  <si>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</si>
  <si>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</si>
  <si>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</si>
  <si>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</si>
  <si>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</si>
  <si>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</si>
  <si>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</si>
  <si>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</si>
  <si>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</si>
  <si>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</si>
  <si>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</si>
  <si>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</si>
  <si>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</si>
  <si>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</si>
  <si>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</si>
  <si>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</si>
  <si>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</si>
  <si>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</si>
  <si>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</si>
  <si>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</si>
  <si>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</si>
  <si>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</si>
  <si>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</si>
  <si>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</si>
  <si>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</si>
  <si>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</si>
  <si>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</si>
  <si>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</si>
  <si>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</si>
  <si>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</si>
  <si>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</si>
  <si>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</si>
  <si>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</si>
  <si>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</si>
  <si>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</si>
  <si>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</si>
  <si>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</si>
  <si>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</si>
  <si>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</si>
  <si>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</si>
  <si>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</si>
  <si>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</si>
  <si>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</si>
  <si>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</si>
  <si>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</si>
  <si>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</si>
  <si>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</si>
  <si>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</si>
  <si>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</si>
  <si>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</si>
  <si>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</si>
  <si>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</si>
  <si>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</si>
  <si>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</si>
  <si>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</si>
  <si>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</si>
  <si>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</si>
  <si>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</si>
  <si>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</si>
  <si>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</si>
  <si>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</si>
  <si>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</si>
  <si>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</si>
  <si>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</si>
  <si>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</si>
  <si>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</si>
  <si>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</si>
  <si>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</si>
  <si>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</si>
  <si>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</si>
  <si>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</si>
  <si>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</si>
  <si>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</si>
  <si>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</si>
  <si>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</si>
  <si>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</si>
  <si>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</si>
  <si>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</si>
  <si>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</si>
  <si>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</si>
  <si>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</si>
  <si>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</si>
  <si>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</si>
  <si>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</si>
  <si>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</si>
  <si>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</si>
  <si>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</si>
  <si>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</si>
  <si>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</si>
  <si>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</si>
  <si>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</si>
  <si>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</si>
  <si>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</si>
  <si>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</si>
  <si>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</si>
  <si>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</si>
  <si>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</si>
  <si>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</si>
  <si>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</si>
  <si>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</si>
  <si>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</si>
  <si>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</si>
  <si>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</si>
  <si>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</si>
  <si>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</si>
  <si>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</si>
  <si>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</si>
  <si>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</si>
  <si>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</si>
  <si>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</si>
  <si>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</si>
  <si>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</si>
  <si>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</si>
  <si>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</si>
  <si>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</si>
  <si>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</si>
  <si>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</si>
  <si>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</si>
  <si>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</si>
  <si>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</si>
  <si>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</si>
  <si>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</si>
  <si>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</si>
  <si>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</si>
  <si>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</si>
  <si>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</si>
  <si>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</si>
  <si>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</si>
  <si>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</si>
  <si>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</si>
  <si>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</si>
  <si>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</si>
  <si>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</si>
  <si>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</si>
  <si>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</si>
  <si>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</si>
  <si>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</si>
  <si>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</si>
  <si>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</si>
  <si>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</si>
  <si>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</si>
  <si>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</si>
  <si>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</si>
  <si>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</si>
  <si>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</si>
  <si>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</si>
  <si>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</si>
  <si>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</si>
  <si>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</si>
  <si>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</si>
  <si>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</si>
  <si>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</si>
  <si>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</si>
  <si>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</si>
  <si>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</si>
  <si>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</si>
  <si>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</si>
  <si>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</si>
  <si>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</si>
  <si>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</si>
  <si>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</si>
  <si>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</si>
  <si>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</si>
  <si>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</si>
  <si>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</si>
  <si>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</si>
  <si>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</si>
  <si>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</si>
  <si>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</si>
  <si>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</si>
  <si>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</si>
  <si>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</si>
  <si>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</si>
  <si>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</si>
  <si>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</si>
  <si>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</si>
  <si>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</si>
  <si>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</si>
  <si>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</si>
  <si>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</si>
  <si>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</si>
  <si>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</si>
  <si>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</si>
  <si>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</si>
  <si>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</si>
  <si>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</si>
  <si>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</si>
  <si>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</si>
  <si>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</si>
  <si>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</si>
  <si>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</si>
  <si>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</si>
  <si>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</si>
  <si>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</si>
  <si>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</si>
  <si>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</si>
  <si>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</si>
  <si>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</si>
  <si>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</si>
  <si>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</si>
  <si>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</si>
  <si>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</si>
  <si>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</si>
  <si>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</si>
  <si>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</si>
  <si>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</si>
  <si>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</si>
  <si>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</si>
  <si>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</si>
  <si>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</si>
  <si>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</si>
  <si>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</si>
  <si>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</si>
  <si>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</si>
  <si>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</si>
  <si>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</si>
  <si>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</si>
  <si>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</si>
  <si>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</si>
  <si>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</si>
  <si>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</si>
  <si>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</si>
  <si>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</si>
  <si>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</si>
  <si>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</si>
  <si>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</si>
  <si>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</si>
  <si>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</si>
  <si>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</si>
  <si>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</si>
  <si>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</si>
  <si>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</si>
  <si>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</si>
  <si>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</si>
  <si>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</si>
  <si>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</si>
  <si>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</si>
  <si>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</si>
  <si>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</si>
  <si>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</si>
  <si>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</si>
  <si>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</si>
  <si>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</si>
  <si>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</si>
  <si>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</si>
  <si>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</si>
  <si>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</si>
  <si>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</si>
  <si>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</si>
  <si>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</si>
  <si>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</si>
  <si>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</si>
  <si>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</si>
  <si>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</si>
  <si>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</si>
  <si>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</si>
  <si>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</si>
  <si>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</si>
  <si>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</si>
  <si>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</si>
  <si>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</si>
  <si>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</si>
  <si>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</si>
  <si>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</si>
  <si>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</si>
  <si>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</si>
  <si>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</si>
  <si>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</si>
  <si>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</si>
  <si>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</si>
  <si>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</si>
  <si>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</si>
  <si>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</si>
  <si>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</si>
  <si>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</si>
  <si>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</si>
  <si>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</si>
  <si>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</si>
  <si>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</si>
  <si>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</si>
  <si>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</si>
  <si>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</si>
  <si>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</si>
  <si>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</si>
  <si>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</si>
  <si>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</si>
  <si>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</si>
  <si>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</si>
  <si>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</si>
  <si>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</si>
  <si>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</si>
  <si>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</si>
  <si>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</si>
  <si>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</si>
  <si>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</si>
  <si>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</si>
  <si>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</si>
  <si>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</si>
  <si>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</si>
  <si>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</si>
  <si>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</si>
  <si>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</si>
  <si>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</si>
  <si>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</si>
  <si>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</si>
  <si>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</si>
  <si>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</si>
  <si>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</si>
  <si>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</si>
  <si>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</si>
  <si>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</si>
  <si>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</si>
  <si>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</si>
  <si>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</si>
  <si>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</si>
  <si>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</si>
  <si>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</si>
  <si>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</si>
  <si>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</si>
  <si>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</si>
  <si>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</si>
  <si>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</si>
  <si>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</si>
  <si>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</si>
  <si>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</si>
  <si>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</si>
  <si>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</si>
  <si>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</si>
  <si>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</si>
  <si>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</si>
  <si>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</si>
  <si>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</si>
  <si>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</si>
  <si>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</si>
  <si>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</si>
  <si>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</si>
  <si>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</si>
  <si>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</si>
  <si>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</si>
  <si>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</si>
  <si>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</si>
  <si>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</si>
  <si>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</si>
  <si>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</si>
  <si>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</si>
  <si>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</si>
  <si>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</si>
  <si>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</si>
  <si>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</si>
  <si>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</si>
  <si>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</si>
  <si>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</si>
  <si>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</si>
  <si>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</si>
  <si>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</si>
  <si>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</si>
  <si>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</si>
  <si>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</si>
  <si>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</si>
  <si>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</si>
  <si>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</si>
  <si>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</si>
  <si>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</si>
  <si>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</si>
  <si>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</si>
  <si>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</si>
  <si>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</si>
  <si>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</si>
  <si>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</si>
  <si>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</si>
  <si>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</si>
  <si>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</si>
  <si>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</si>
  <si>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</si>
  <si>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</si>
  <si>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</si>
  <si>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</si>
  <si>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</si>
  <si>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</si>
  <si>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</si>
  <si>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</si>
  <si>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</si>
  <si>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</si>
  <si>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</si>
  <si>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</si>
  <si>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</si>
  <si>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</si>
  <si>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</si>
  <si>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</si>
  <si>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</si>
  <si>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</si>
  <si>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</si>
  <si>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</si>
  <si>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</si>
  <si>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</si>
  <si>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</si>
  <si>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</si>
  <si>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</si>
  <si>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</si>
  <si>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</si>
  <si>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</si>
  <si>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</si>
  <si>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</si>
  <si>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</si>
  <si>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</si>
  <si>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</si>
  <si>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</si>
  <si>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</si>
  <si>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</si>
  <si>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</si>
  <si>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</si>
  <si>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</si>
  <si>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</si>
  <si>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</si>
  <si>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</si>
  <si>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</si>
  <si>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</si>
  <si>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</si>
  <si>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</si>
  <si>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</si>
  <si>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</si>
  <si>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</si>
  <si>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</si>
  <si>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</si>
  <si>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</si>
  <si>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</si>
  <si>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</si>
  <si>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</si>
  <si>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</si>
  <si>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</si>
  <si>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</si>
  <si>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</si>
  <si>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</si>
  <si>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</si>
  <si>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</si>
  <si>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</si>
  <si>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</si>
  <si>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</si>
  <si>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</si>
  <si>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</si>
  <si>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</si>
  <si>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</si>
  <si>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</si>
  <si>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</si>
  <si>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</si>
  <si>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</si>
  <si>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</si>
  <si>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</si>
  <si>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</si>
  <si>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</si>
  <si>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</si>
  <si>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</si>
  <si>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</si>
  <si>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</si>
  <si>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</si>
  <si>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</si>
  <si>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</si>
  <si>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</si>
  <si>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</si>
  <si>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</si>
  <si>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</si>
  <si>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</si>
  <si>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</si>
  <si>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</si>
  <si>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</si>
  <si>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</si>
  <si>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</si>
  <si>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</si>
  <si>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</si>
  <si>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</si>
  <si>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</si>
  <si>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</si>
  <si>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</si>
  <si>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</si>
  <si>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</si>
  <si>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</si>
  <si>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</si>
  <si>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</si>
  <si>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</si>
  <si>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</si>
  <si>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</si>
  <si>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</si>
  <si>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</si>
  <si>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</si>
  <si>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</si>
  <si>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</si>
  <si>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</si>
  <si>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</si>
  <si>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</si>
  <si>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</si>
  <si>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</si>
  <si>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</si>
  <si>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</si>
  <si>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</si>
  <si>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</si>
  <si>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</si>
  <si>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</si>
  <si>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</si>
  <si>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</si>
  <si>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</si>
  <si>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</si>
  <si>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</si>
  <si>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</si>
  <si>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</si>
  <si>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</si>
  <si>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</si>
  <si>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</si>
  <si>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</si>
  <si>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</si>
  <si>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</si>
  <si>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</si>
  <si>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</si>
  <si>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</si>
  <si>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</si>
  <si>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</si>
  <si>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</si>
  <si>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</si>
  <si>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</si>
  <si>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</si>
  <si>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</si>
  <si>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</si>
  <si>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</si>
  <si>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</si>
  <si>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</si>
  <si>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</si>
  <si>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</si>
  <si>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</si>
  <si>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</si>
  <si>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</si>
  <si>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</si>
  <si>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</si>
  <si>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</si>
  <si>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</si>
  <si>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</si>
  <si>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</si>
  <si>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</si>
  <si>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</si>
  <si>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</si>
  <si>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</si>
  <si>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</si>
  <si>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</si>
  <si>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</si>
  <si>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</si>
  <si>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</si>
  <si>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</si>
  <si>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</si>
  <si>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</si>
  <si>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</si>
  <si>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</si>
  <si>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</si>
  <si>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</si>
  <si>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</si>
  <si>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</si>
  <si>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</si>
  <si>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</si>
  <si>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</si>
  <si>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</si>
  <si>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</si>
  <si>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</si>
  <si>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</si>
  <si>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</si>
  <si>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</si>
  <si>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</si>
  <si>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</si>
  <si>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</si>
  <si>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</si>
  <si>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</si>
  <si>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</si>
  <si>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</si>
  <si>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</si>
  <si>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</si>
  <si>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</si>
  <si>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</si>
  <si>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</si>
  <si>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</si>
  <si>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</si>
  <si>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</si>
  <si>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</si>
  <si>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</si>
  <si>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</si>
  <si>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</si>
  <si>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</si>
  <si>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</si>
  <si>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</si>
  <si>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</si>
  <si>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</si>
  <si>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</si>
  <si>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</si>
  <si>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</si>
  <si>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</si>
  <si>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</si>
  <si>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</si>
  <si>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</si>
  <si>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</si>
  <si>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</si>
  <si>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</si>
  <si>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</si>
  <si>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</si>
  <si>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</si>
  <si>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</si>
  <si>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</si>
  <si>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</si>
  <si>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</si>
  <si>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</si>
  <si>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</si>
  <si>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</si>
  <si>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</si>
  <si>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</si>
  <si>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</si>
  <si>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</si>
  <si>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</si>
  <si>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</si>
  <si>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</si>
  <si>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</si>
  <si>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</si>
  <si>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</si>
  <si>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</si>
  <si>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</si>
  <si>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</si>
  <si>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</si>
  <si>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</si>
  <si>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</si>
  <si>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</si>
  <si>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</si>
  <si>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</si>
  <si>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</si>
  <si>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</si>
  <si>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</si>
  <si>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</si>
  <si>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</si>
  <si>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</si>
  <si>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</si>
  <si>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</si>
  <si>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</si>
  <si>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</si>
  <si>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</si>
  <si>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</si>
  <si>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</si>
  <si>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</si>
  <si>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</si>
  <si>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</si>
  <si>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</si>
  <si>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</si>
  <si>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</si>
  <si>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</si>
  <si>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</si>
  <si>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</si>
  <si>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</si>
  <si>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</si>
  <si>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</si>
  <si>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</si>
  <si>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</si>
  <si>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</si>
  <si>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</si>
  <si>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</si>
  <si>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</si>
  <si>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</si>
  <si>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</si>
  <si>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</si>
  <si>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</si>
  <si>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</si>
  <si>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</si>
  <si>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</si>
  <si>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</si>
  <si>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</si>
  <si>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</si>
  <si>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</si>
  <si>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</si>
  <si>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</si>
  <si>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</si>
  <si>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</si>
  <si>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</si>
  <si>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</si>
  <si>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</si>
  <si>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</si>
  <si>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</si>
  <si>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</si>
  <si>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</si>
  <si>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</si>
  <si>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</si>
  <si>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</si>
  <si>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</si>
  <si>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</si>
  <si>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</si>
  <si>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</si>
  <si>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</si>
  <si>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</si>
  <si>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</si>
  <si>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</si>
  <si>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</si>
  <si>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</si>
  <si>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</si>
  <si>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</si>
  <si>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</si>
  <si>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</si>
  <si>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</si>
  <si>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</si>
  <si>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</si>
  <si>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</si>
  <si>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</si>
  <si>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</si>
  <si>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</si>
  <si>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</si>
  <si>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</si>
  <si>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</si>
  <si>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</si>
  <si>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</si>
  <si>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</si>
  <si>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</si>
  <si>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</si>
  <si>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</si>
  <si>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</si>
  <si>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</si>
  <si>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</si>
  <si>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</si>
  <si>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</si>
  <si>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</si>
  <si>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</si>
  <si>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</si>
  <si>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</si>
  <si>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</si>
  <si>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</si>
  <si>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</si>
  <si>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</si>
  <si>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</si>
  <si>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</si>
  <si>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</si>
  <si>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</si>
  <si>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</si>
  <si>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PEKERJAAN LAIN-LAIN</t>
  </si>
  <si>
    <t xml:space="preserve">Pemasangan APP </t>
  </si>
  <si>
    <t>KONSTRUKSI JTR 3 PHASE</t>
  </si>
  <si>
    <t>PLN</t>
  </si>
  <si>
    <t>UPGRADING TRAFO</t>
  </si>
  <si>
    <t>Daya 105.000 VA</t>
  </si>
  <si>
    <t>HJ KASMI</t>
  </si>
  <si>
    <t>DS MRANAK KEC DEMAK</t>
  </si>
  <si>
    <t>KOORDINAT : -6.886986, 110.656277</t>
  </si>
  <si>
    <t>STAF TEKNIK</t>
  </si>
  <si>
    <t>TL TEKNIK</t>
  </si>
  <si>
    <t>MULP</t>
  </si>
  <si>
    <t>MBAG REN</t>
  </si>
  <si>
    <t>Demak, 19 Januari 2024</t>
  </si>
  <si>
    <t>MANAGER ULP</t>
  </si>
  <si>
    <t>ACHMAD SUHENDRO</t>
  </si>
  <si>
    <t>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</si>
</sst>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60" fillId="0" borderId="0" applyFont="0" applyFill="0" applyBorder="0" applyAlignment="0" applyProtection="0"/>
    <xf numFmtId="41" fontId="172" fillId="0" borderId="0" applyFont="0" applyFill="0" applyBorder="0" applyAlignment="0" applyProtection="0"/>
    <xf numFmtId="0" fontId="19" fillId="0" borderId="0"/>
    <xf numFmtId="0" fontId="13" fillId="2" borderId="0" applyNumberFormat="0" applyBorder="0" applyAlignment="0" applyProtection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5" borderId="0" applyNumberFormat="0" applyBorder="0" applyAlignment="0" applyProtection="0"/>
    <xf numFmtId="0" fontId="13" fillId="8" borderId="0" applyNumberFormat="0" applyBorder="0" applyAlignment="0" applyProtection="0"/>
    <xf numFmtId="0" fontId="13" fillId="11" borderId="0" applyNumberFormat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" fillId="0" borderId="0"/>
    <xf numFmtId="41" fontId="19" fillId="0" borderId="0" applyFont="0" applyFill="0" applyBorder="0" applyAlignment="0" applyProtection="0"/>
    <xf numFmtId="0" fontId="3" fillId="0" borderId="0"/>
    <xf numFmtId="43" fontId="19" fillId="0" borderId="0" applyFont="0" applyFill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7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0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" fillId="0" borderId="0"/>
    <xf numFmtId="0" fontId="13" fillId="0" borderId="0"/>
    <xf numFmtId="0" fontId="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09" fillId="0" borderId="0" applyFont="0" applyFill="0" applyBorder="0" applyAlignment="0" applyProtection="0"/>
    <xf numFmtId="0" fontId="85" fillId="0" borderId="100"/>
    <xf numFmtId="0" fontId="86" fillId="0" borderId="101"/>
    <xf numFmtId="43" fontId="19" fillId="0" borderId="0" applyFont="0" applyFill="0" applyBorder="0" applyAlignment="0" applyProtection="0"/>
  </cellStyleXfs>
  <cellXfs count="699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4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3" fillId="33" borderId="0" xfId="0" applyFont="1" applyFill="1" applyAlignment="1">
      <alignment horizontal="center"/>
    </xf>
    <xf numFmtId="0" fontId="113" fillId="33" borderId="26" xfId="0" applyFont="1" applyFill="1" applyBorder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/>
    </xf>
    <xf numFmtId="0" fontId="90" fillId="33" borderId="68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7" fillId="33" borderId="69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8" fillId="33" borderId="71" xfId="0" applyFont="1" applyFill="1" applyBorder="1" applyAlignment="1">
      <alignment horizontal="center" vertical="top" wrapText="1"/>
    </xf>
    <xf numFmtId="0" fontId="118" fillId="33" borderId="72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vertical="top" wrapText="1"/>
    </xf>
    <xf numFmtId="0" fontId="113" fillId="33" borderId="37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3" fillId="33" borderId="43" xfId="0" applyFont="1" applyFill="1" applyBorder="1" applyAlignment="1">
      <alignment vertical="top" wrapText="1"/>
    </xf>
    <xf numFmtId="0" fontId="113" fillId="33" borderId="44" xfId="0" applyFont="1" applyFill="1" applyBorder="1" applyAlignment="1">
      <alignment vertical="top" wrapText="1"/>
    </xf>
    <xf numFmtId="0" fontId="113" fillId="33" borderId="45" xfId="0" applyFont="1" applyFill="1" applyBorder="1" applyAlignment="1">
      <alignment vertical="top" wrapText="1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3" fillId="33" borderId="39" xfId="0" applyFont="1" applyFill="1" applyBorder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42" xfId="0" applyFont="1" applyFill="1" applyBorder="1" applyAlignment="1">
      <alignment horizontal="center" vertical="center" wrapText="1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45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9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6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8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7" fillId="0" borderId="0" xfId="1614" applyFont="1" applyAlignment="1">
      <alignment horizontal="center"/>
    </xf>
    <xf numFmtId="0" fontId="148" fillId="0" borderId="0" xfId="1614" applyFont="1" applyAlignment="1">
      <alignment horizontal="center" vertical="center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3" fontId="147" fillId="0" borderId="0" xfId="1614" applyNumberFormat="1" applyFont="1" applyAlignment="1">
      <alignment horizontal="center"/>
    </xf>
    <xf numFmtId="0" fontId="152" fillId="0" borderId="0" xfId="1614" applyFont="1"/>
    <xf numFmtId="167" fontId="152" fillId="0" borderId="0" xfId="1652" applyNumberFormat="1" applyFont="1"/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52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0" fontId="152" fillId="0" borderId="0" xfId="1614" applyFont="1" applyAlignment="1">
      <alignment horizontal="center" vertical="center" wrapText="1"/>
    </xf>
    <xf numFmtId="0" fontId="149" fillId="0" borderId="0" xfId="1614" applyFont="1" applyAlignment="1">
      <alignment horizontal="center" vertical="center" wrapText="1"/>
    </xf>
    <xf numFmtId="3" fontId="148" fillId="0" borderId="0" xfId="1614" applyNumberFormat="1" applyFont="1" applyAlignment="1">
      <alignment vertical="center"/>
    </xf>
    <xf numFmtId="0" fontId="149" fillId="0" borderId="20" xfId="1615" applyFont="1" applyBorder="1" applyAlignment="1">
      <alignment horizontal="center" vertical="center"/>
    </xf>
    <xf numFmtId="0" fontId="149" fillId="0" borderId="21" xfId="1615" applyFont="1" applyBorder="1" applyAlignment="1">
      <alignment horizontal="left" vertical="center" wrapText="1"/>
    </xf>
    <xf numFmtId="0" fontId="148" fillId="0" borderId="21" xfId="1614" applyFont="1" applyBorder="1" applyAlignment="1">
      <alignment horizontal="center" vertical="center" wrapText="1"/>
    </xf>
    <xf numFmtId="0" fontId="155" fillId="0" borderId="21" xfId="1614" applyFont="1" applyBorder="1" applyAlignment="1">
      <alignment horizontal="center" vertical="center"/>
    </xf>
    <xf numFmtId="3" fontId="155" fillId="0" borderId="21" xfId="1614" applyNumberFormat="1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8" fillId="0" borderId="22" xfId="1614" applyNumberFormat="1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47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49" fillId="0" borderId="20" xfId="1653" applyFont="1" applyBorder="1" applyAlignment="1">
      <alignment horizontal="center" vertical="center"/>
    </xf>
    <xf numFmtId="0" fontId="149" fillId="0" borderId="21" xfId="1451" applyFont="1" applyBorder="1" applyAlignment="1">
      <alignment horizontal="left" vertical="center" wrapText="1"/>
    </xf>
    <xf numFmtId="0" fontId="150" fillId="0" borderId="21" xfId="1653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50" fillId="0" borderId="20" xfId="1653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48" fillId="0" borderId="20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5" fillId="0" borderId="21" xfId="1652" applyFont="1" applyBorder="1" applyAlignment="1">
      <alignment horizontal="center" vertical="center"/>
    </xf>
    <xf numFmtId="0" fontId="155" fillId="0" borderId="49" xfId="1652" applyFont="1" applyBorder="1" applyAlignment="1">
      <alignment horizontal="center" vertical="center"/>
    </xf>
    <xf numFmtId="0" fontId="155" fillId="0" borderId="3" xfId="1652" applyFont="1" applyBorder="1" applyAlignment="1">
      <alignment vertical="center" wrapText="1"/>
    </xf>
    <xf numFmtId="0" fontId="148" fillId="0" borderId="3" xfId="1614" applyFont="1" applyBorder="1" applyAlignment="1">
      <alignment horizontal="center" vertical="center" wrapText="1"/>
    </xf>
    <xf numFmtId="0" fontId="155" fillId="0" borderId="3" xfId="1614" applyFont="1" applyBorder="1" applyAlignment="1">
      <alignment horizontal="center" vertical="center"/>
    </xf>
    <xf numFmtId="0" fontId="155" fillId="0" borderId="3" xfId="1652" applyFont="1" applyBorder="1" applyAlignment="1">
      <alignment horizontal="center" vertical="center"/>
    </xf>
    <xf numFmtId="207" fontId="155" fillId="0" borderId="3" xfId="1614" applyNumberFormat="1" applyFont="1" applyBorder="1" applyAlignment="1">
      <alignment horizontal="center" vertical="center"/>
    </xf>
    <xf numFmtId="3" fontId="148" fillId="0" borderId="3" xfId="1614" applyNumberFormat="1" applyFont="1" applyBorder="1" applyAlignment="1">
      <alignment horizontal="center" vertical="center"/>
    </xf>
    <xf numFmtId="3" fontId="148" fillId="0" borderId="39" xfId="1614" applyNumberFormat="1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8" fillId="0" borderId="23" xfId="1614" applyFont="1" applyBorder="1" applyAlignment="1">
      <alignment horizontal="center" vertical="center"/>
    </xf>
    <xf numFmtId="0" fontId="148" fillId="0" borderId="24" xfId="1614" applyFont="1" applyBorder="1" applyAlignment="1">
      <alignment horizontal="left" vertical="center"/>
    </xf>
    <xf numFmtId="0" fontId="148" fillId="0" borderId="24" xfId="1614" applyFont="1" applyBorder="1" applyAlignment="1">
      <alignment vertical="center"/>
    </xf>
    <xf numFmtId="0" fontId="155" fillId="0" borderId="24" xfId="1614" applyFont="1" applyBorder="1" applyAlignment="1">
      <alignment horizontal="center" vertical="center"/>
    </xf>
    <xf numFmtId="3" fontId="148" fillId="0" borderId="24" xfId="1614" applyNumberFormat="1" applyFont="1" applyBorder="1" applyAlignment="1">
      <alignment horizontal="center" vertical="center"/>
    </xf>
    <xf numFmtId="3" fontId="148" fillId="0" borderId="25" xfId="1614" applyNumberFormat="1" applyFont="1" applyBorder="1" applyAlignment="1">
      <alignment horizontal="center" vertical="center"/>
    </xf>
    <xf numFmtId="0" fontId="150" fillId="0" borderId="26" xfId="1614" applyFont="1" applyBorder="1" applyAlignment="1">
      <alignment horizontal="center" vertical="center"/>
    </xf>
    <xf numFmtId="37" fontId="152" fillId="0" borderId="27" xfId="1614" applyNumberFormat="1" applyFont="1" applyBorder="1" applyAlignment="1">
      <alignment horizontal="center"/>
    </xf>
    <xf numFmtId="37" fontId="150" fillId="0" borderId="27" xfId="1614" applyNumberFormat="1" applyFont="1" applyBorder="1" applyAlignment="1">
      <alignment horizontal="center"/>
    </xf>
    <xf numFmtId="0" fontId="150" fillId="0" borderId="28" xfId="1614" applyFont="1" applyBorder="1" applyAlignment="1">
      <alignment horizontal="center" vertical="center"/>
    </xf>
    <xf numFmtId="37" fontId="152" fillId="0" borderId="29" xfId="1614" applyNumberFormat="1" applyFont="1" applyBorder="1" applyAlignment="1">
      <alignment horizontal="center"/>
    </xf>
    <xf numFmtId="37" fontId="150" fillId="0" borderId="29" xfId="1614" applyNumberFormat="1" applyFont="1" applyBorder="1" applyAlignment="1">
      <alignment horizontal="center"/>
    </xf>
    <xf numFmtId="37" fontId="156" fillId="0" borderId="30" xfId="1614" applyNumberFormat="1" applyFont="1" applyBorder="1" applyAlignment="1">
      <alignment horizontal="center"/>
    </xf>
    <xf numFmtId="37" fontId="156" fillId="0" borderId="32" xfId="1614" applyNumberFormat="1" applyFont="1" applyBorder="1" applyAlignment="1">
      <alignment horizontal="center"/>
    </xf>
    <xf numFmtId="0" fontId="156" fillId="0" borderId="34" xfId="1614" applyFont="1" applyBorder="1" applyAlignment="1">
      <alignment vertical="center"/>
    </xf>
    <xf numFmtId="0" fontId="150" fillId="0" borderId="19" xfId="1614" applyFont="1" applyBorder="1"/>
    <xf numFmtId="0" fontId="150" fillId="0" borderId="19" xfId="1614" applyFont="1" applyBorder="1" applyAlignment="1">
      <alignment horizontal="center"/>
    </xf>
    <xf numFmtId="0" fontId="150" fillId="0" borderId="19" xfId="1614" applyFont="1" applyBorder="1" applyAlignment="1">
      <alignment horizontal="right"/>
    </xf>
    <xf numFmtId="0" fontId="150" fillId="0" borderId="31" xfId="1614" applyFont="1" applyBorder="1" applyAlignment="1">
      <alignment horizontal="right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165" fontId="155" fillId="0" borderId="0" xfId="1652" applyNumberFormat="1" applyFont="1" applyAlignment="1">
      <alignment vertical="center"/>
    </xf>
    <xf numFmtId="0" fontId="150" fillId="0" borderId="0" xfId="1652" applyFont="1" applyAlignment="1">
      <alignment horizontal="right"/>
    </xf>
    <xf numFmtId="0" fontId="157" fillId="0" borderId="0" xfId="1644" applyFont="1" applyAlignment="1">
      <alignment horizontal="center" vertical="center"/>
    </xf>
    <xf numFmtId="0" fontId="155" fillId="0" borderId="0" xfId="1652" applyFont="1" applyAlignment="1">
      <alignment vertical="center"/>
    </xf>
    <xf numFmtId="0" fontId="158" fillId="39" borderId="83" xfId="2670" applyFont="1" applyFill="1" applyBorder="1" applyAlignment="1">
      <alignment horizontal="left" vertical="center"/>
    </xf>
    <xf numFmtId="0" fontId="158" fillId="39" borderId="84" xfId="2670" applyFont="1" applyFill="1" applyBorder="1" applyAlignment="1">
      <alignment horizontal="center" vertical="center"/>
    </xf>
    <xf numFmtId="0" fontId="158" fillId="39" borderId="86" xfId="2670" applyFont="1" applyFill="1" applyBorder="1" applyAlignment="1">
      <alignment horizontal="left" vertical="center"/>
    </xf>
    <xf numFmtId="0" fontId="158" fillId="39" borderId="82" xfId="2670" applyFont="1" applyFill="1" applyBorder="1" applyAlignment="1">
      <alignment horizontal="center" vertical="center"/>
    </xf>
    <xf numFmtId="0" fontId="158" fillId="39" borderId="88" xfId="2670" applyFont="1" applyFill="1" applyBorder="1" applyAlignment="1">
      <alignment horizontal="left" vertical="center"/>
    </xf>
    <xf numFmtId="0" fontId="158" fillId="39" borderId="89" xfId="2670" applyFont="1" applyFill="1" applyBorder="1" applyAlignment="1">
      <alignment horizontal="center" vertical="center"/>
    </xf>
    <xf numFmtId="167" fontId="139" fillId="40" borderId="85" xfId="2672" applyFont="1" applyFill="1" applyBorder="1" applyAlignment="1" applyProtection="1">
      <alignment horizontal="right" vertical="center" wrapText="1"/>
      <protection locked="0"/>
    </xf>
    <xf numFmtId="167" fontId="139" fillId="40" borderId="87" xfId="2672" applyFont="1" applyFill="1" applyBorder="1" applyAlignment="1" applyProtection="1">
      <alignment horizontal="right" vertical="center"/>
      <protection locked="0"/>
    </xf>
    <xf numFmtId="169" fontId="139" fillId="40" borderId="87" xfId="2672" applyNumberFormat="1" applyFont="1" applyFill="1" applyBorder="1" applyAlignment="1" applyProtection="1">
      <alignment horizontal="right" vertical="center"/>
      <protection locked="0"/>
    </xf>
    <xf numFmtId="169" fontId="139" fillId="40" borderId="90" xfId="2672" applyNumberFormat="1" applyFont="1" applyFill="1" applyBorder="1" applyAlignment="1" applyProtection="1">
      <alignment horizontal="right" vertical="center"/>
      <protection locked="0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6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4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1" fillId="35" borderId="0" xfId="1451" applyFont="1" applyFill="1" applyAlignment="1">
      <alignment vertic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2" xfId="2673" applyFont="1" applyBorder="1" applyAlignment="1">
      <alignment horizontal="center" vertical="center" wrapText="1"/>
    </xf>
    <xf numFmtId="0" fontId="162" fillId="0" borderId="0" xfId="2673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64" fillId="0" borderId="0" xfId="2673" applyFont="1" applyAlignment="1">
      <alignment vertical="center" wrapText="1"/>
    </xf>
    <xf numFmtId="0" fontId="145" fillId="35" borderId="94" xfId="2673" applyFont="1" applyFill="1" applyBorder="1" applyAlignment="1">
      <alignment vertical="center" wrapText="1"/>
    </xf>
    <xf numFmtId="0" fontId="145" fillId="43" borderId="94" xfId="2673" applyFont="1" applyFill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9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2" fontId="169" fillId="0" borderId="0" xfId="2673" applyNumberFormat="1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70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98" xfId="2673" applyFont="1" applyFill="1" applyBorder="1" applyAlignment="1">
      <alignment vertical="center" wrapText="1"/>
    </xf>
    <xf numFmtId="0" fontId="104" fillId="0" borderId="64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 wrapText="1"/>
    </xf>
    <xf numFmtId="49" fontId="90" fillId="33" borderId="61" xfId="0" applyNumberFormat="1" applyFont="1" applyFill="1" applyBorder="1" applyAlignment="1">
      <alignment horizontal="left" vertical="center"/>
    </xf>
    <xf numFmtId="41" fontId="151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0" fontId="114" fillId="33" borderId="0" xfId="0" applyFont="1" applyFill="1" applyAlignment="1">
      <alignment horizontal="left"/>
    </xf>
    <xf numFmtId="169" fontId="143" fillId="47" borderId="0" xfId="2672" applyNumberFormat="1" applyFont="1" applyFill="1" applyBorder="1" applyAlignment="1" applyProtection="1">
      <alignment horizontal="right" vertical="center"/>
    </xf>
    <xf numFmtId="0" fontId="173" fillId="0" borderId="69" xfId="1450" applyFont="1" applyBorder="1" applyAlignment="1">
      <alignment horizontal="center" vertical="center"/>
    </xf>
    <xf numFmtId="0" fontId="173" fillId="0" borderId="99" xfId="1450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left" vertical="center" wrapText="1"/>
    </xf>
    <xf numFmtId="0" fontId="126" fillId="0" borderId="21" xfId="1652" applyFont="1" applyBorder="1" applyAlignment="1">
      <alignment vertical="center" wrapText="1"/>
    </xf>
    <xf numFmtId="0" fontId="113" fillId="33" borderId="0" xfId="0" applyFont="1" applyFill="1" applyAlignment="1">
      <alignment horizontal="left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7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96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97" xfId="2673" applyBorder="1" applyAlignment="1">
      <alignment horizontal="center" vertical="center" wrapText="1"/>
    </xf>
    <xf numFmtId="9" fontId="169" fillId="0" borderId="0" xfId="2675" applyFont="1" applyFill="1" applyBorder="1" applyAlignment="1">
      <alignment horizontal="center" vertical="center" wrapText="1"/>
    </xf>
    <xf numFmtId="0" fontId="166" fillId="37" borderId="0" xfId="2673" applyFont="1" applyFill="1" applyAlignment="1">
      <alignment horizontal="left" vertical="center" wrapText="1"/>
    </xf>
    <xf numFmtId="43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2" xfId="2673" applyNumberFormat="1" applyFont="1" applyFill="1" applyBorder="1" applyAlignment="1">
      <alignment horizontal="center" vertical="center" wrapText="1"/>
    </xf>
    <xf numFmtId="2" fontId="133" fillId="35" borderId="95" xfId="2673" applyNumberFormat="1" applyFont="1" applyFill="1" applyBorder="1" applyAlignment="1">
      <alignment horizontal="center" vertical="center" wrapText="1"/>
    </xf>
    <xf numFmtId="0" fontId="162" fillId="41" borderId="91" xfId="2673" applyFont="1" applyFill="1" applyBorder="1" applyAlignment="1">
      <alignment horizontal="center" vertical="center" wrapText="1"/>
    </xf>
    <xf numFmtId="0" fontId="162" fillId="41" borderId="92" xfId="2673" applyFont="1" applyFill="1" applyBorder="1" applyAlignment="1">
      <alignment horizontal="center" vertical="center" wrapText="1"/>
    </xf>
    <xf numFmtId="0" fontId="162" fillId="41" borderId="93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43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9" fontId="133" fillId="0" borderId="65" xfId="2675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9" fontId="133" fillId="35" borderId="65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165" fillId="0" borderId="50" xfId="2673" applyFont="1" applyBorder="1" applyAlignment="1">
      <alignment horizontal="center" vertical="center" wrapText="1"/>
    </xf>
    <xf numFmtId="0" fontId="165" fillId="0" borderId="58" xfId="2673" applyFont="1" applyBorder="1" applyAlignment="1">
      <alignment horizontal="center" vertical="center" wrapText="1"/>
    </xf>
    <xf numFmtId="0" fontId="165" fillId="44" borderId="3" xfId="2673" applyFont="1" applyFill="1" applyBorder="1" applyAlignment="1">
      <alignment horizontal="center" vertical="center" wrapText="1"/>
    </xf>
    <xf numFmtId="0" fontId="165" fillId="44" borderId="39" xfId="2673" applyFont="1" applyFill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45" borderId="3" xfId="2673" applyNumberFormat="1" applyFont="1" applyFill="1" applyBorder="1" applyAlignment="1">
      <alignment horizontal="center" vertical="center" wrapText="1"/>
    </xf>
    <xf numFmtId="2" fontId="133" fillId="45" borderId="39" xfId="2673" applyNumberFormat="1" applyFont="1" applyFill="1" applyBorder="1" applyAlignment="1">
      <alignment horizontal="center" vertical="center" wrapText="1"/>
    </xf>
    <xf numFmtId="0" fontId="162" fillId="42" borderId="91" xfId="2673" applyFont="1" applyFill="1" applyBorder="1" applyAlignment="1">
      <alignment horizontal="center" vertical="center" wrapText="1"/>
    </xf>
    <xf numFmtId="0" fontId="162" fillId="42" borderId="92" xfId="2673" applyFont="1" applyFill="1" applyBorder="1" applyAlignment="1">
      <alignment horizontal="center" vertical="center" wrapText="1"/>
    </xf>
    <xf numFmtId="0" fontId="162" fillId="42" borderId="93" xfId="2673" applyFont="1" applyFill="1" applyBorder="1" applyAlignment="1">
      <alignment horizontal="center" vertical="center" wrapText="1"/>
    </xf>
    <xf numFmtId="43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2" fontId="133" fillId="43" borderId="62" xfId="2673" applyNumberFormat="1" applyFont="1" applyFill="1" applyBorder="1" applyAlignment="1">
      <alignment horizontal="center" vertical="center" wrapText="1"/>
    </xf>
    <xf numFmtId="2" fontId="133" fillId="43" borderId="95" xfId="2673" applyNumberFormat="1" applyFont="1" applyFill="1" applyBorder="1" applyAlignment="1">
      <alignment horizontal="center" vertical="center" wrapText="1"/>
    </xf>
    <xf numFmtId="0" fontId="7" fillId="34" borderId="77" xfId="2670" applyFill="1" applyBorder="1" applyAlignment="1">
      <alignment horizontal="center" vertical="center"/>
    </xf>
    <xf numFmtId="0" fontId="137" fillId="0" borderId="7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52" fillId="30" borderId="3" xfId="1614" applyFont="1" applyFill="1" applyBorder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37" fontId="150" fillId="0" borderId="36" xfId="1614" applyNumberFormat="1" applyFont="1" applyBorder="1" applyAlignment="1">
      <alignment horizontal="center"/>
    </xf>
    <xf numFmtId="0" fontId="154" fillId="35" borderId="51" xfId="1614" applyFont="1" applyFill="1" applyBorder="1" applyAlignment="1">
      <alignment horizontal="center" vertical="center"/>
    </xf>
    <xf numFmtId="0" fontId="154" fillId="35" borderId="49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/>
    </xf>
    <xf numFmtId="0" fontId="154" fillId="35" borderId="21" xfId="1614" applyFont="1" applyFill="1" applyBorder="1" applyAlignment="1">
      <alignment horizontal="center" vertical="center"/>
    </xf>
    <xf numFmtId="0" fontId="154" fillId="35" borderId="33" xfId="1614" applyFont="1" applyFill="1" applyBorder="1" applyAlignment="1">
      <alignment horizontal="center" vertical="center"/>
    </xf>
    <xf numFmtId="0" fontId="154" fillId="35" borderId="53" xfId="1614" applyFont="1" applyFill="1" applyBorder="1" applyAlignment="1">
      <alignment horizontal="center" vertical="center"/>
    </xf>
    <xf numFmtId="0" fontId="154" fillId="35" borderId="3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 wrapText="1"/>
    </xf>
    <xf numFmtId="0" fontId="154" fillId="35" borderId="21" xfId="1614" applyFont="1" applyFill="1" applyBorder="1" applyAlignment="1">
      <alignment horizontal="center" vertical="center" wrapText="1"/>
    </xf>
    <xf numFmtId="0" fontId="154" fillId="35" borderId="33" xfId="1614" applyFont="1" applyFill="1" applyBorder="1" applyAlignment="1">
      <alignment horizontal="center" vertical="center" wrapText="1"/>
    </xf>
    <xf numFmtId="0" fontId="154" fillId="35" borderId="35" xfId="1652" applyFont="1" applyFill="1" applyBorder="1" applyAlignment="1">
      <alignment horizontal="center" vertical="center" wrapText="1"/>
    </xf>
    <xf numFmtId="0" fontId="154" fillId="35" borderId="33" xfId="1652" applyFont="1" applyFill="1" applyBorder="1" applyAlignment="1">
      <alignment horizontal="center" vertical="center" wrapText="1"/>
    </xf>
    <xf numFmtId="0" fontId="149" fillId="0" borderId="0" xfId="1644" applyFont="1" applyAlignment="1">
      <alignment horizontal="center" vertical="center"/>
    </xf>
    <xf numFmtId="37" fontId="156" fillId="0" borderId="19" xfId="1614" applyNumberFormat="1" applyFont="1" applyBorder="1" applyAlignment="1">
      <alignment horizontal="center"/>
    </xf>
    <xf numFmtId="0" fontId="152" fillId="0" borderId="0" xfId="1614" applyFont="1" applyAlignment="1">
      <alignment horizontal="left" vertical="top" wrapText="1"/>
    </xf>
    <xf numFmtId="37" fontId="150" fillId="0" borderId="0" xfId="1614" applyNumberFormat="1" applyFont="1" applyAlignment="1">
      <alignment horizontal="center"/>
    </xf>
    <xf numFmtId="0" fontId="171" fillId="0" borderId="26" xfId="1614" applyFont="1" applyBorder="1" applyAlignment="1">
      <alignment horizontal="left" vertical="center" wrapText="1"/>
    </xf>
    <xf numFmtId="0" fontId="171" fillId="0" borderId="36" xfId="1614" applyFont="1" applyBorder="1" applyAlignment="1">
      <alignment horizontal="left" vertical="center" wrapText="1"/>
    </xf>
    <xf numFmtId="0" fontId="171" fillId="0" borderId="48" xfId="1614" applyFont="1" applyBorder="1" applyAlignment="1">
      <alignment horizontal="left" vertical="center" wrapText="1"/>
    </xf>
    <xf numFmtId="0" fontId="171" fillId="0" borderId="28" xfId="1614" applyFont="1" applyBorder="1" applyAlignment="1">
      <alignment horizontal="left" vertical="center" wrapText="1"/>
    </xf>
    <xf numFmtId="0" fontId="171" fillId="0" borderId="0" xfId="1614" applyFont="1" applyAlignment="1">
      <alignment horizontal="left" vertical="center" wrapText="1"/>
    </xf>
    <xf numFmtId="0" fontId="171" fillId="0" borderId="37" xfId="1614" applyFont="1" applyBorder="1" applyAlignment="1">
      <alignment horizontal="left" vertical="center" wrapText="1"/>
    </xf>
    <xf numFmtId="0" fontId="155" fillId="0" borderId="0" xfId="1652" applyFont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0" fontId="154" fillId="35" borderId="54" xfId="1614" applyFont="1" applyFill="1" applyBorder="1" applyAlignment="1">
      <alignment horizontal="center" vertical="center"/>
    </xf>
    <xf numFmtId="0" fontId="154" fillId="35" borderId="39" xfId="1614" applyFont="1" applyFill="1" applyBorder="1" applyAlignment="1">
      <alignment horizontal="center" vertic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208" fontId="173" fillId="0" borderId="73" xfId="1450" applyNumberFormat="1" applyFont="1" applyBorder="1" applyAlignment="1">
      <alignment horizontal="left" vertical="center"/>
    </xf>
    <xf numFmtId="208" fontId="173" fillId="0" borderId="74" xfId="1450" applyNumberFormat="1" applyFont="1" applyBorder="1" applyAlignment="1">
      <alignment horizontal="left" vertical="center"/>
    </xf>
    <xf numFmtId="49" fontId="131" fillId="33" borderId="59" xfId="0" applyNumberFormat="1" applyFont="1" applyFill="1" applyBorder="1" applyAlignment="1">
      <alignment horizontal="left" vertical="center"/>
    </xf>
    <xf numFmtId="49" fontId="131" fillId="33" borderId="40" xfId="0" applyNumberFormat="1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49" fontId="113" fillId="33" borderId="50" xfId="0" applyNumberFormat="1" applyFont="1" applyFill="1" applyBorder="1" applyAlignment="1">
      <alignment horizontal="center" vertical="center"/>
    </xf>
    <xf numFmtId="49" fontId="113" fillId="33" borderId="41" xfId="0" applyNumberFormat="1" applyFont="1" applyFill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79" xfId="0" applyFont="1" applyFill="1" applyBorder="1" applyAlignment="1">
      <alignment horizontal="left" vertical="center"/>
    </xf>
    <xf numFmtId="0" fontId="131" fillId="33" borderId="60" xfId="0" applyFont="1" applyFill="1" applyBorder="1" applyAlignment="1">
      <alignment horizontal="left" vertical="center"/>
    </xf>
    <xf numFmtId="0" fontId="131" fillId="33" borderId="61" xfId="0" applyFont="1" applyFill="1" applyBorder="1" applyAlignment="1">
      <alignment horizontal="left" vertical="center"/>
    </xf>
    <xf numFmtId="0" fontId="90" fillId="33" borderId="80" xfId="0" applyFont="1" applyFill="1" applyBorder="1" applyAlignment="1">
      <alignment horizontal="center" vertical="center"/>
    </xf>
    <xf numFmtId="0" fontId="90" fillId="33" borderId="81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center"/>
    </xf>
    <xf numFmtId="0" fontId="117" fillId="33" borderId="73" xfId="0" applyFont="1" applyFill="1" applyBorder="1" applyAlignment="1">
      <alignment horizontal="center" vertical="center"/>
    </xf>
    <xf numFmtId="0" fontId="117" fillId="33" borderId="74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90" fillId="33" borderId="61" xfId="0" applyFont="1" applyFill="1" applyBorder="1" applyAlignment="1">
      <alignment horizontal="left" vertical="center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15" fontId="113" fillId="33" borderId="3" xfId="0" applyNumberFormat="1" applyFont="1" applyFill="1" applyBorder="1" applyAlignment="1">
      <alignment horizontal="center"/>
    </xf>
    <xf numFmtId="0" fontId="90" fillId="33" borderId="59" xfId="0" applyFont="1" applyFill="1" applyBorder="1" applyAlignment="1">
      <alignment horizontal="center" vertical="center"/>
    </xf>
    <xf numFmtId="0" fontId="90" fillId="33" borderId="40" xfId="0" applyFont="1" applyFill="1" applyBorder="1" applyAlignment="1">
      <alignment horizontal="center" vertical="center"/>
    </xf>
    <xf numFmtId="0" fontId="118" fillId="33" borderId="75" xfId="0" applyFont="1" applyFill="1" applyBorder="1" applyAlignment="1">
      <alignment horizontal="center" vertical="center" wrapText="1"/>
    </xf>
    <xf numFmtId="0" fontId="118" fillId="33" borderId="76" xfId="0" applyFont="1" applyFill="1" applyBorder="1" applyAlignment="1">
      <alignment horizontal="center" vertical="center" wrapText="1"/>
    </xf>
    <xf numFmtId="0" fontId="114" fillId="33" borderId="18" xfId="0" applyFont="1" applyFill="1" applyBorder="1" applyAlignment="1">
      <alignment horizontal="left" vertical="top" wrapText="1"/>
    </xf>
    <xf numFmtId="0" fontId="114" fillId="33" borderId="0" xfId="0" applyFont="1" applyFill="1" applyAlignment="1">
      <alignment horizontal="left" vertical="top" wrapText="1"/>
    </xf>
    <xf numFmtId="0" fontId="113" fillId="33" borderId="64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5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3" fillId="33" borderId="0" xfId="0" applyFont="1" applyFill="1" applyAlignment="1">
      <alignment horizontal="center" vertical="center" wrapText="1"/>
    </xf>
    <xf numFmtId="0" fontId="113" fillId="33" borderId="37" xfId="0" applyFont="1" applyFill="1" applyBorder="1" applyAlignment="1">
      <alignment horizontal="center" vertical="center" wrapText="1"/>
    </xf>
    <xf numFmtId="0" fontId="113" fillId="33" borderId="44" xfId="0" applyFont="1" applyFill="1" applyBorder="1" applyAlignment="1">
      <alignment horizontal="center" vertical="center" wrapText="1"/>
    </xf>
    <xf numFmtId="0" fontId="113" fillId="33" borderId="45" xfId="0" applyFont="1" applyFill="1" applyBorder="1" applyAlignment="1">
      <alignment horizontal="center" vertical="center" wrapText="1"/>
    </xf>
    <xf numFmtId="0" fontId="121" fillId="35" borderId="26" xfId="1451" applyFont="1" applyFill="1" applyBorder="1" applyAlignment="1">
      <alignment horizontal="center" vertical="center"/>
    </xf>
    <xf numFmtId="0" fontId="121" fillId="35" borderId="36" xfId="1451" applyFont="1" applyFill="1" applyBorder="1" applyAlignment="1">
      <alignment horizontal="center" vertical="center"/>
    </xf>
    <xf numFmtId="0" fontId="121" fillId="35" borderId="48" xfId="1451" applyFont="1" applyFill="1" applyBorder="1" applyAlignment="1">
      <alignment horizontal="center" vertical="center"/>
    </xf>
    <xf numFmtId="0" fontId="121" fillId="35" borderId="28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21" fillId="35" borderId="37" xfId="1451" applyFont="1" applyFill="1" applyBorder="1" applyAlignment="1">
      <alignment horizontal="center" vertical="center"/>
    </xf>
    <xf numFmtId="0" fontId="121" fillId="35" borderId="34" xfId="1451" applyFont="1" applyFill="1" applyBorder="1" applyAlignment="1">
      <alignment horizontal="center" vertical="center"/>
    </xf>
    <xf numFmtId="0" fontId="121" fillId="35" borderId="19" xfId="1451" applyFont="1" applyFill="1" applyBorder="1" applyAlignment="1">
      <alignment horizontal="center" vertical="center"/>
    </xf>
    <xf numFmtId="0" fontId="121" fillId="35" borderId="31" xfId="1451" applyFont="1" applyFill="1" applyBorder="1" applyAlignment="1">
      <alignment horizontal="center" vertical="center"/>
    </xf>
    <xf numFmtId="0" fontId="159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2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2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64914</xdr:colOff>
      <xdr:row>21</xdr:row>
      <xdr:rowOff>24005</xdr:rowOff>
    </xdr:from>
    <xdr:to>
      <xdr:col>8</xdr:col>
      <xdr:colOff>303687</xdr:colOff>
      <xdr:row>36</xdr:row>
      <xdr:rowOff>24762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6DD752-9D28-477B-B08C-EE2BFBC6313A}"/>
            </a:ext>
          </a:extLst>
        </xdr:cNvPr>
        <xdr:cNvSpPr/>
      </xdr:nvSpPr>
      <xdr:spPr>
        <a:xfrm rot="5400000">
          <a:off x="1648801" y="4247083"/>
          <a:ext cx="2260481" cy="238773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93650" y="810172"/>
          <a:ext cx="1485615" cy="1778636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11</xdr:col>
      <xdr:colOff>353568</xdr:colOff>
      <xdr:row>26</xdr:row>
      <xdr:rowOff>94320</xdr:rowOff>
    </xdr:from>
    <xdr:to>
      <xdr:col>12</xdr:col>
      <xdr:colOff>88737</xdr:colOff>
      <xdr:row>27</xdr:row>
      <xdr:rowOff>53064</xdr:rowOff>
    </xdr:to>
    <xdr:grpSp>
      <xdr:nvGrpSpPr>
        <xdr:cNvPr id="35" name="Group 682">
          <a:extLst>
            <a:ext uri="{FF2B5EF4-FFF2-40B4-BE49-F238E27FC236}">
              <a16:creationId xmlns:a16="http://schemas.microsoft.com/office/drawing/2014/main" id="{CB13C64E-0779-09C3-F990-3BEFEAEECFC8}"/>
            </a:ext>
          </a:extLst>
        </xdr:cNvPr>
        <xdr:cNvGrpSpPr>
          <a:grpSpLocks/>
        </xdr:cNvGrpSpPr>
      </xdr:nvGrpSpPr>
      <xdr:grpSpPr bwMode="auto">
        <a:xfrm>
          <a:off x="4097307" y="4020277"/>
          <a:ext cx="116169" cy="10783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15" name="Oval 214">
            <a:extLst>
              <a:ext uri="{FF2B5EF4-FFF2-40B4-BE49-F238E27FC236}">
                <a16:creationId xmlns:a16="http://schemas.microsoft.com/office/drawing/2014/main" id="{DB437624-1297-DAEE-95AB-DB731DCFD90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0309F8A8-AF8A-62D5-A494-2F270AEBD75A}"/>
              </a:ext>
            </a:extLst>
          </xdr:cNvPr>
          <xdr:cNvCxnSpPr>
            <a:stCxn id="215" idx="1"/>
            <a:endCxn id="21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0DF2F23C-9DC7-0D2B-70A9-DBBBC494833C}"/>
              </a:ext>
            </a:extLst>
          </xdr:cNvPr>
          <xdr:cNvCxnSpPr>
            <a:stCxn id="215" idx="3"/>
            <a:endCxn id="21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248053</xdr:colOff>
      <xdr:row>26</xdr:row>
      <xdr:rowOff>150625</xdr:rowOff>
    </xdr:from>
    <xdr:to>
      <xdr:col>11</xdr:col>
      <xdr:colOff>353568</xdr:colOff>
      <xdr:row>26</xdr:row>
      <xdr:rowOff>151554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56DF890-43EA-6A00-2462-D303AEACC369}"/>
            </a:ext>
          </a:extLst>
        </xdr:cNvPr>
        <xdr:cNvCxnSpPr>
          <a:stCxn id="215" idx="2"/>
          <a:endCxn id="13" idx="6"/>
        </xdr:cNvCxnSpPr>
      </xdr:nvCxnSpPr>
      <xdr:spPr>
        <a:xfrm flipH="1">
          <a:off x="3222784" y="4173106"/>
          <a:ext cx="867515" cy="92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174763</xdr:colOff>
      <xdr:row>26</xdr:row>
      <xdr:rowOff>100023</xdr:rowOff>
    </xdr:from>
    <xdr:to>
      <xdr:col>14</xdr:col>
      <xdr:colOff>290932</xdr:colOff>
      <xdr:row>27</xdr:row>
      <xdr:rowOff>56208</xdr:rowOff>
    </xdr:to>
    <xdr:grpSp>
      <xdr:nvGrpSpPr>
        <xdr:cNvPr id="242" name="Group 682">
          <a:extLst>
            <a:ext uri="{FF2B5EF4-FFF2-40B4-BE49-F238E27FC236}">
              <a16:creationId xmlns:a16="http://schemas.microsoft.com/office/drawing/2014/main" id="{4BB152CD-FAE2-4B33-9714-E70C8904923B}"/>
            </a:ext>
          </a:extLst>
        </xdr:cNvPr>
        <xdr:cNvGrpSpPr>
          <a:grpSpLocks/>
        </xdr:cNvGrpSpPr>
      </xdr:nvGrpSpPr>
      <xdr:grpSpPr bwMode="auto">
        <a:xfrm>
          <a:off x="5061502" y="4025980"/>
          <a:ext cx="116169" cy="105271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43" name="Oval 242">
            <a:extLst>
              <a:ext uri="{FF2B5EF4-FFF2-40B4-BE49-F238E27FC236}">
                <a16:creationId xmlns:a16="http://schemas.microsoft.com/office/drawing/2014/main" id="{B9513B1B-D244-02C5-2DE4-52E70B9B42F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5FA289B9-6095-F186-CC91-FBA638A43E44}"/>
              </a:ext>
            </a:extLst>
          </xdr:cNvPr>
          <xdr:cNvCxnSpPr>
            <a:stCxn id="243" idx="1"/>
            <a:endCxn id="24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79BE7467-F83C-A0F9-8F8A-ED58D8A02D7A}"/>
              </a:ext>
            </a:extLst>
          </xdr:cNvPr>
          <xdr:cNvCxnSpPr>
            <a:stCxn id="243" idx="3"/>
            <a:endCxn id="24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88737</xdr:colOff>
      <xdr:row>26</xdr:row>
      <xdr:rowOff>150625</xdr:rowOff>
    </xdr:from>
    <xdr:to>
      <xdr:col>14</xdr:col>
      <xdr:colOff>43962</xdr:colOff>
      <xdr:row>27</xdr:row>
      <xdr:rowOff>3736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25B47F6A-F778-449E-911A-B7D9163F70AA}"/>
            </a:ext>
          </a:extLst>
        </xdr:cNvPr>
        <xdr:cNvCxnSpPr>
          <a:stCxn id="9" idx="2"/>
          <a:endCxn id="215" idx="6"/>
        </xdr:cNvCxnSpPr>
      </xdr:nvCxnSpPr>
      <xdr:spPr>
        <a:xfrm flipH="1" flipV="1">
          <a:off x="4206468" y="4173106"/>
          <a:ext cx="717225" cy="697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43962</xdr:colOff>
      <xdr:row>26</xdr:row>
      <xdr:rowOff>102576</xdr:rowOff>
    </xdr:from>
    <xdr:to>
      <xdr:col>14</xdr:col>
      <xdr:colOff>160131</xdr:colOff>
      <xdr:row>27</xdr:row>
      <xdr:rowOff>58761</xdr:rowOff>
    </xdr:to>
    <xdr:grpSp>
      <xdr:nvGrpSpPr>
        <xdr:cNvPr id="8" name="Group 682">
          <a:extLst>
            <a:ext uri="{FF2B5EF4-FFF2-40B4-BE49-F238E27FC236}">
              <a16:creationId xmlns:a16="http://schemas.microsoft.com/office/drawing/2014/main" id="{A99A46E3-7C89-4987-8FB0-E2D1DC1C53F1}"/>
            </a:ext>
          </a:extLst>
        </xdr:cNvPr>
        <xdr:cNvGrpSpPr>
          <a:grpSpLocks/>
        </xdr:cNvGrpSpPr>
      </xdr:nvGrpSpPr>
      <xdr:grpSpPr bwMode="auto">
        <a:xfrm>
          <a:off x="4930701" y="4028533"/>
          <a:ext cx="116169" cy="105271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D568B747-C48A-0942-080D-C3FF1184710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2E84167E-A9E9-502C-38A5-21D6F4DFA580}"/>
              </a:ext>
            </a:extLst>
          </xdr:cNvPr>
          <xdr:cNvCxnSpPr>
            <a:stCxn id="9" idx="1"/>
            <a:endCxn id="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DFF3CA9B-1C49-1D63-5ED5-23F1EC0E4185}"/>
              </a:ext>
            </a:extLst>
          </xdr:cNvPr>
          <xdr:cNvCxnSpPr>
            <a:stCxn id="9" idx="3"/>
            <a:endCxn id="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131884</xdr:colOff>
      <xdr:row>26</xdr:row>
      <xdr:rowOff>95249</xdr:rowOff>
    </xdr:from>
    <xdr:to>
      <xdr:col>9</xdr:col>
      <xdr:colOff>248053</xdr:colOff>
      <xdr:row>27</xdr:row>
      <xdr:rowOff>53993</xdr:rowOff>
    </xdr:to>
    <xdr:grpSp>
      <xdr:nvGrpSpPr>
        <xdr:cNvPr id="12" name="Group 682">
          <a:extLst>
            <a:ext uri="{FF2B5EF4-FFF2-40B4-BE49-F238E27FC236}">
              <a16:creationId xmlns:a16="http://schemas.microsoft.com/office/drawing/2014/main" id="{ADBA691F-4F47-4C15-8A7E-95DF1F28E557}"/>
            </a:ext>
          </a:extLst>
        </xdr:cNvPr>
        <xdr:cNvGrpSpPr>
          <a:grpSpLocks/>
        </xdr:cNvGrpSpPr>
      </xdr:nvGrpSpPr>
      <xdr:grpSpPr bwMode="auto">
        <a:xfrm>
          <a:off x="3113623" y="4021206"/>
          <a:ext cx="116169" cy="10783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A0AE152F-FCB5-D715-E804-7226FC5EB56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AFC50462-8AEA-8B45-0DE4-9DBC0021C09D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E184285F-7FA8-3ACB-65B6-DF344B0AE1B5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209076</xdr:colOff>
      <xdr:row>29</xdr:row>
      <xdr:rowOff>50553</xdr:rowOff>
    </xdr:from>
    <xdr:to>
      <xdr:col>18</xdr:col>
      <xdr:colOff>289891</xdr:colOff>
      <xdr:row>34</xdr:row>
      <xdr:rowOff>74543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8312FAC-97F0-4F0A-B1E1-809B6B690D1D}"/>
            </a:ext>
          </a:extLst>
        </xdr:cNvPr>
        <xdr:cNvSpPr txBox="1"/>
      </xdr:nvSpPr>
      <xdr:spPr>
        <a:xfrm>
          <a:off x="4714815" y="4423770"/>
          <a:ext cx="1985815" cy="76114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SELEP HJ KASMI</a:t>
          </a:r>
        </a:p>
      </xdr:txBody>
    </xdr:sp>
    <xdr:clientData/>
  </xdr:twoCellAnchor>
  <xdr:twoCellAnchor>
    <xdr:from>
      <xdr:col>14</xdr:col>
      <xdr:colOff>98754</xdr:colOff>
      <xdr:row>25</xdr:row>
      <xdr:rowOff>58616</xdr:rowOff>
    </xdr:from>
    <xdr:to>
      <xdr:col>14</xdr:col>
      <xdr:colOff>237965</xdr:colOff>
      <xdr:row>26</xdr:row>
      <xdr:rowOff>65942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283EDDE0-4802-41D7-87AD-401237BAA0FD}"/>
            </a:ext>
          </a:extLst>
        </xdr:cNvPr>
        <xdr:cNvSpPr/>
      </xdr:nvSpPr>
      <xdr:spPr>
        <a:xfrm>
          <a:off x="4985493" y="3835486"/>
          <a:ext cx="139211" cy="156413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0</xdr:colOff>
      <xdr:row>26</xdr:row>
      <xdr:rowOff>149086</xdr:rowOff>
    </xdr:from>
    <xdr:to>
      <xdr:col>9</xdr:col>
      <xdr:colOff>131884</xdr:colOff>
      <xdr:row>27</xdr:row>
      <xdr:rowOff>78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665613FC-FCC2-4D32-A6EF-870F2BD1233B}"/>
            </a:ext>
          </a:extLst>
        </xdr:cNvPr>
        <xdr:cNvCxnSpPr>
          <a:stCxn id="13" idx="2"/>
        </xdr:cNvCxnSpPr>
      </xdr:nvCxnSpPr>
      <xdr:spPr>
        <a:xfrm flipH="1" flipV="1">
          <a:off x="2981739" y="4075043"/>
          <a:ext cx="131884" cy="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74544</xdr:colOff>
      <xdr:row>27</xdr:row>
      <xdr:rowOff>91110</xdr:rowOff>
    </xdr:from>
    <xdr:to>
      <xdr:col>14</xdr:col>
      <xdr:colOff>256761</xdr:colOff>
      <xdr:row>28</xdr:row>
      <xdr:rowOff>41413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25BBBD5-22E2-4BBB-A081-D3C1A1E0F2DE}"/>
            </a:ext>
          </a:extLst>
        </xdr:cNvPr>
        <xdr:cNvSpPr txBox="1"/>
      </xdr:nvSpPr>
      <xdr:spPr>
        <a:xfrm>
          <a:off x="4961283" y="4166153"/>
          <a:ext cx="182217" cy="99390"/>
        </a:xfrm>
        <a:prstGeom prst="rect">
          <a:avLst/>
        </a:prstGeom>
        <a:solidFill>
          <a:srgbClr val="FF00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500" b="1" u="none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5</xdr:col>
      <xdr:colOff>207818</xdr:colOff>
      <xdr:row>11</xdr:row>
      <xdr:rowOff>69272</xdr:rowOff>
    </xdr:from>
    <xdr:to>
      <xdr:col>18</xdr:col>
      <xdr:colOff>17318</xdr:colOff>
      <xdr:row>47</xdr:row>
      <xdr:rowOff>62030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5F4435-4359-DE24-9813-7ACD00F7A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4545" y="1939636"/>
          <a:ext cx="7689273" cy="56038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D2">
            <v>390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9" t="s">
        <v>1134</v>
      </c>
      <c r="C4" s="509"/>
      <c r="D4" s="509"/>
      <c r="E4" s="509"/>
      <c r="F4" s="509"/>
      <c r="G4" s="509"/>
      <c r="H4" s="50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0" t="s">
        <v>0</v>
      </c>
      <c r="C7" s="510" t="s">
        <v>1</v>
      </c>
      <c r="D7" s="511" t="s">
        <v>42</v>
      </c>
      <c r="E7" s="511" t="s">
        <v>43</v>
      </c>
      <c r="F7" s="511" t="s">
        <v>1135</v>
      </c>
      <c r="G7" s="512" t="s">
        <v>41</v>
      </c>
      <c r="H7" s="508" t="s">
        <v>1042</v>
      </c>
      <c r="I7" s="508" t="s">
        <v>1137</v>
      </c>
      <c r="J7" s="508" t="s">
        <v>1026</v>
      </c>
      <c r="K7" s="502" t="s">
        <v>1024</v>
      </c>
      <c r="L7" s="503"/>
    </row>
    <row r="8" spans="1:12" ht="15" customHeight="1">
      <c r="B8" s="510"/>
      <c r="C8" s="510"/>
      <c r="D8" s="511"/>
      <c r="E8" s="511"/>
      <c r="F8" s="511"/>
      <c r="G8" s="512"/>
      <c r="H8" s="508"/>
      <c r="I8" s="508"/>
      <c r="J8" s="508"/>
      <c r="K8" s="504"/>
      <c r="L8" s="505"/>
    </row>
    <row r="9" spans="1:12" ht="15" customHeight="1">
      <c r="B9" s="510"/>
      <c r="C9" s="510"/>
      <c r="D9" s="511"/>
      <c r="E9" s="511"/>
      <c r="F9" s="511"/>
      <c r="G9" s="512"/>
      <c r="H9" s="508"/>
      <c r="I9" s="508"/>
      <c r="J9" s="508"/>
      <c r="K9" s="506"/>
      <c r="L9" s="50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Kabel NYY 1 x 70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44</v>
      </c>
      <c r="G14" s="41">
        <f ca="1">IF(ISERROR(OFFSET('HARGA SATUAN'!$I$6,MATCH(C14,'HARGA SATUAN'!$C$7:$C$1492,0),0)),"",OFFSET('HARGA SATUAN'!$I$6,MATCH(C14,'HARGA SATUAN'!$C$7:$C$1492,0),0))</f>
        <v>94700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Modem 3G/4G</v>
      </c>
      <c r="D15" s="101" t="str">
        <f ca="1">IF(ISERROR(OFFSET('HARGA SATUAN'!$D$6,MATCH(C15,'HARGA SATUAN'!$C$7:$C$1492,0),0)),"",OFFSET('HARGA SATUAN'!$D$6,MATCH(C15,'HARGA SATUAN'!$C$7:$C$1492,0),0))</f>
        <v>HDW</v>
      </c>
      <c r="E15" s="101" t="str">
        <f ca="1">IF(B15="+","Unit",IF(ISERROR(OFFSET('HARGA SATUAN'!$E$6,MATCH(C15,'HARGA SATUAN'!$C$7:$C$1492,0),0)),"",OFFSET('HARGA SATUAN'!$E$6,MATCH(C15,'HARGA SATUAN'!$C$7:$C$1492,0),0)))</f>
        <v>Unit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1113900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SUMIFS(RAB!$F$14:$F$32,RAB!$C$14:$C$32,C714)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SUMIFS(RAB!$F$14:$F$32,RAB!$C$14:$C$32,C715)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SUMIFS(RAB!$F$14:$F$32,RAB!$C$14:$C$32,C716)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SUMIFS(RAB!$F$14:$F$32,RAB!$C$14:$C$32,C717)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SUMIFS(RAB!$F$14:$F$32,RAB!$C$14:$C$32,C718)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SUMIFS(RAB!$F$14:$F$32,RAB!$C$14:$C$32,C719)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SUMIFS(RAB!$F$14:$F$32,RAB!$C$14:$C$32,C720)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SUMIFS(RAB!$F$14:$F$32,RAB!$C$14:$C$32,C721)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SUMIFS(RAB!$F$14:$F$32,RAB!$C$14:$C$32,C722)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SUMIFS(RAB!$F$14:$F$32,RAB!$C$14:$C$32,C723)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SUMIFS(RAB!$F$14:$F$32,RAB!$C$14:$C$32,C724)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SUMIFS(RAB!$F$14:$F$32,RAB!$C$14:$C$32,C725)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SUMIFS(RAB!$F$14:$F$32,RAB!$C$14:$C$32,C726)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SUMIFS(RAB!$F$14:$F$32,RAB!$C$14:$C$32,C727)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SUMIFS(RAB!$F$14:$F$32,RAB!$C$14:$C$32,C728)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SUMIFS(RAB!$F$14:$F$32,RAB!$C$14:$C$32,C729)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SUMIFS(RAB!$F$14:$F$32,RAB!$C$14:$C$32,C730)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SUMIFS(RAB!$F$14:$F$32,RAB!$C$14:$C$32,C731)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SUMIFS(RAB!$F$14:$F$32,RAB!$C$14:$C$32,C732)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SUMIFS(RAB!$F$14:$F$32,RAB!$C$14:$C$32,C733)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SUMIFS(RAB!$F$14:$F$32,RAB!$C$14:$C$32,C734)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SUMIFS(RAB!$F$14:$F$32,RAB!$C$14:$C$32,C735)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SUMIFS(RAB!$F$14:$F$32,RAB!$C$14:$C$32,C736)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SUMIFS(RAB!$F$14:$F$32,RAB!$C$14:$C$32,C737)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SUMIFS(RAB!$F$14:$F$32,RAB!$C$14:$C$32,C738)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SUMIFS(RAB!$F$14:$F$32,RAB!$C$14:$C$32,C739)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SUMIFS(RAB!$F$14:$F$32,RAB!$C$14:$C$32,C740)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SUMIFS(RAB!$F$14:$F$32,RAB!$C$14:$C$32,C741)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SUMIFS(RAB!$F$14:$F$32,RAB!$C$14:$C$32,C742)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SUMIFS(RAB!$F$14:$F$32,RAB!$C$14:$C$32,C743)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SUMIFS(RAB!$F$14:$F$32,RAB!$C$14:$C$32,C744)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SUMIFS(RAB!$F$14:$F$32,RAB!$C$14:$C$32,C745)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SUMIFS(RAB!$F$14:$F$32,RAB!$C$14:$C$32,C746)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SUMIFS(RAB!$F$14:$F$32,RAB!$C$14:$C$32,C747)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SUMIFS(RAB!$F$14:$F$32,RAB!$C$14:$C$32,C748)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SUMIFS(RAB!$F$14:$F$32,RAB!$C$14:$C$32,C749)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SUMIFS(RAB!$F$14:$F$32,RAB!$C$14:$C$32,C750)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SUMIFS(RAB!$F$14:$F$32,RAB!$C$14:$C$32,C751)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SUMIFS(RAB!$F$14:$F$32,RAB!$C$14:$C$32,C752)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SUMIFS(RAB!$F$14:$F$32,RAB!$C$14:$C$32,C753)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SUMIFS(RAB!$F$14:$F$32,RAB!$C$14:$C$32,C754)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SUMIFS(RAB!$F$14:$F$32,RAB!$C$14:$C$32,C755)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SUMIFS(RAB!$F$14:$F$32,RAB!$C$14:$C$32,C756)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SUMIFS(RAB!$F$14:$F$32,RAB!$C$14:$C$32,C757)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SUMIFS(RAB!$F$14:$F$32,RAB!$C$14:$C$32,C758)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SUMIFS(RAB!$F$14:$F$32,RAB!$C$14:$C$32,C759)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SUMIFS(RAB!$F$14:$F$32,RAB!$C$14:$C$32,C760)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SUMIFS(RAB!$F$14:$F$32,RAB!$C$14:$C$32,C761)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SUMIFS(RAB!$F$14:$F$32,RAB!$C$14:$C$32,C762)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SUMIFS(RAB!$F$14:$F$32,RAB!$C$14:$C$32,C763)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SUMIFS(RAB!$F$14:$F$32,RAB!$C$14:$C$32,C764)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SUMIFS(RAB!$F$14:$F$32,RAB!$C$14:$C$32,C765)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SUMIFS(RAB!$F$14:$F$32,RAB!$C$14:$C$32,C766)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SUMIFS(RAB!$F$14:$F$32,RAB!$C$14:$C$32,C767)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SUMIFS(RAB!$F$14:$F$32,RAB!$C$14:$C$32,C768)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SUMIFS(RAB!$F$14:$F$32,RAB!$C$14:$C$32,C769)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SUMIFS(RAB!$F$14:$F$32,RAB!$C$14:$C$32,C770)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SUMIFS(RAB!$F$14:$F$32,RAB!$C$14:$C$32,C771)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SUMIFS(RAB!$F$14:$F$32,RAB!$C$14:$C$32,C772)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SUMIFS(RAB!$F$14:$F$32,RAB!$C$14:$C$32,C773)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SUMIFS(RAB!$F$14:$F$32,RAB!$C$14:$C$32,C774)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SUMIFS(RAB!$F$14:$F$32,RAB!$C$14:$C$32,C775)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SUMIFS(RAB!$F$14:$F$32,RAB!$C$14:$C$32,C776)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SUMIFS(RAB!$F$14:$F$32,RAB!$C$14:$C$32,C777)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SUMIFS(RAB!$F$14:$F$32,RAB!$C$14:$C$32,C778)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SUMIFS(RAB!$F$14:$F$32,RAB!$C$14:$C$32,C779)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SUMIFS(RAB!$F$14:$F$32,RAB!$C$14:$C$32,C780)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SUMIFS(RAB!$F$14:$F$32,RAB!$C$14:$C$32,C781)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SUMIFS(RAB!$F$14:$F$32,RAB!$C$14:$C$32,C782)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SUMIFS(RAB!$F$14:$F$32,RAB!$C$14:$C$32,C783)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SUMIFS(RAB!$F$14:$F$32,RAB!$C$14:$C$32,C784)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SUMIFS(RAB!$F$14:$F$32,RAB!$C$14:$C$32,C785)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SUMIFS(RAB!$F$14:$F$32,RAB!$C$14:$C$32,C786)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SUMIFS(RAB!$F$14:$F$32,RAB!$C$14:$C$32,C787)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SUMIFS(RAB!$F$14:$F$32,RAB!$C$14:$C$32,C788)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SUMIFS(RAB!$F$14:$F$32,RAB!$C$14:$C$32,C789)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SUMIFS(RAB!$F$14:$F$32,RAB!$C$14:$C$32,C790)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SUMIFS(RAB!$F$14:$F$32,RAB!$C$14:$C$32,C791)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SUMIFS(RAB!$F$14:$F$32,RAB!$C$14:$C$32,C792)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SUMIFS(RAB!$F$14:$F$32,RAB!$C$14:$C$32,C793)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SUMIFS(RAB!$F$14:$F$32,RAB!$C$14:$C$32,C794)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SUMIFS(RAB!$F$14:$F$32,RAB!$C$14:$C$32,C795)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SUMIFS(RAB!$F$14:$F$32,RAB!$C$14:$C$32,C796)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SUMIFS(RAB!$F$14:$F$32,RAB!$C$14:$C$32,C797)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SUMIFS(RAB!$F$14:$F$32,RAB!$C$14:$C$32,C798)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SUMIFS(RAB!$F$14:$F$32,RAB!$C$14:$C$32,C799)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SUMIFS(RAB!$F$14:$F$32,RAB!$C$14:$C$32,C800)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SUMIFS(RAB!$F$14:$F$32,RAB!$C$14:$C$32,C801)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SUMIFS(RAB!$F$14:$F$32,RAB!$C$14:$C$32,C802)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SUMIFS(RAB!$F$14:$F$32,RAB!$C$14:$C$32,C803)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SUMIFS(RAB!$F$14:$F$32,RAB!$C$14:$C$32,C804)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SUMIFS(RAB!$F$14:$F$32,RAB!$C$14:$C$32,C805)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SUMIFS(RAB!$F$14:$F$32,RAB!$C$14:$C$32,C806)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SUMIFS(RAB!$F$14:$F$32,RAB!$C$14:$C$32,C807)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SUMIFS(RAB!$F$14:$F$32,RAB!$C$14:$C$32,C808)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SUMIFS(RAB!$F$14:$F$32,RAB!$C$14:$C$32,C809)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SUMIFS(RAB!$F$14:$F$32,RAB!$C$14:$C$32,C810)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SUMIFS(RAB!$F$14:$F$32,RAB!$C$14:$C$32,C811)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SUMIFS(RAB!$F$14:$F$32,RAB!$C$14:$C$32,C812)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SUMIFS(RAB!$F$14:$F$32,RAB!$C$14:$C$32,C813)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SUMIFS(RAB!$F$14:$F$32,RAB!$C$14:$C$32,C814)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SUMIFS(RAB!$F$14:$F$32,RAB!$C$14:$C$32,C815)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SUMIFS(RAB!$F$14:$F$32,RAB!$C$14:$C$32,C816)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SUMIFS(RAB!$F$14:$F$32,RAB!$C$14:$C$32,C817)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SUMIFS(RAB!$F$14:$F$32,RAB!$C$14:$C$32,C818)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SUMIFS(RAB!$F$14:$F$32,RAB!$C$14:$C$32,C819)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SUMIFS(RAB!$F$14:$F$32,RAB!$C$14:$C$32,C820)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SUMIFS(RAB!$F$14:$F$32,RAB!$C$14:$C$32,C821)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SUMIFS(RAB!$F$14:$F$32,RAB!$C$14:$C$32,C822)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SUMIFS(RAB!$F$14:$F$32,RAB!$C$14:$C$32,C823)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SUMIFS(RAB!$F$14:$F$32,RAB!$C$14:$C$32,C824)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SUMIFS(RAB!$F$14:$F$32,RAB!$C$14:$C$32,C825)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SUMIFS(RAB!$F$14:$F$32,RAB!$C$14:$C$32,C826)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SUMIFS(RAB!$F$14:$F$32,RAB!$C$14:$C$32,C827)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SUMIFS(RAB!$F$14:$F$32,RAB!$C$14:$C$32,C828)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SUMIFS(RAB!$F$14:$F$32,RAB!$C$14:$C$32,C829)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SUMIFS(RAB!$F$14:$F$32,RAB!$C$14:$C$32,C830)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SUMIFS(RAB!$F$14:$F$32,RAB!$C$14:$C$32,C831)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SUMIFS(RAB!$F$14:$F$32,RAB!$C$14:$C$32,C832)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SUMIFS(RAB!$F$14:$F$32,RAB!$C$14:$C$32,C833)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SUMIFS(RAB!$F$14:$F$32,RAB!$C$14:$C$32,C834)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SUMIFS(RAB!$F$14:$F$32,RAB!$C$14:$C$32,C835)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SUMIFS(RAB!$F$14:$F$32,RAB!$C$14:$C$32,C836)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SUMIFS(RAB!$F$14:$F$32,RAB!$C$14:$C$32,C837)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SUMIFS(RAB!$F$14:$F$32,RAB!$C$14:$C$32,C838)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SUMIFS(RAB!$F$14:$F$32,RAB!$C$14:$C$32,C839)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SUMIFS(RAB!$F$14:$F$32,RAB!$C$14:$C$32,C840)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SUMIFS(RAB!$F$14:$F$32,RAB!$C$14:$C$32,C841)</f>
        <v>44</v>
      </c>
      <c r="E841" s="26">
        <f t="shared" ca="1" si="34"/>
        <v>1</v>
      </c>
      <c r="F841" s="26">
        <f ca="1">IF(D841=0,0,SUM($E$713:E841))</f>
        <v>3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SUMIFS(RAB!$F$14:$F$32,RAB!$C$14:$C$32,C842)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SUMIFS(RAB!$F$14:$F$32,RAB!$C$14:$C$32,C843)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SUMIFS(RAB!$F$14:$F$32,RAB!$C$14:$C$32,C844)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SUMIFS(RAB!$F$14:$F$32,RAB!$C$14:$C$32,C845)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SUMIFS(RAB!$F$14:$F$32,RAB!$C$14:$C$32,C846)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SUMIFS(RAB!$F$14:$F$32,RAB!$C$14:$C$32,C847)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SUMIFS(RAB!$F$14:$F$32,RAB!$C$14:$C$32,C848)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SUMIFS(RAB!$F$14:$F$32,RAB!$C$14:$C$32,C849)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SUMIFS(RAB!$F$14:$F$32,RAB!$C$14:$C$32,C850)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SUMIFS(RAB!$F$14:$F$32,RAB!$C$14:$C$32,C851)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SUMIFS(RAB!$F$14:$F$32,RAB!$C$14:$C$32,C852)</f>
        <v>1</v>
      </c>
      <c r="E852" s="26">
        <f t="shared" ca="1" si="35"/>
        <v>1</v>
      </c>
      <c r="F852" s="26">
        <f ca="1">IF(D852=0,0,SUM($E$713:E852))</f>
        <v>4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SUMIFS(RAB!$F$14:$F$32,RAB!$C$14:$C$32,C853)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SUMIFS(RAB!$F$14:$F$32,RAB!$C$14:$C$32,C854)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SUMIFS(RAB!$F$14:$F$32,RAB!$C$14:$C$32,C855)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SUMIFS(RAB!$F$14:$F$32,RAB!$C$14:$C$32,C856)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SUMIFS(RAB!$F$14:$F$32,RAB!$C$14:$C$32,C857)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SUMIFS(RAB!$F$14:$F$32,RAB!$C$14:$C$32,C858)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SUMIFS(RAB!$F$14:$F$32,RAB!$C$14:$C$32,C859)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SUMIFS(RAB!$F$14:$F$32,RAB!$C$14:$C$32,C860)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SUMIFS(RAB!$F$14:$F$32,RAB!$C$14:$C$32,C861)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SUMIFS(RAB!$F$14:$F$32,RAB!$C$14:$C$32,C862)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SUMIFS(RAB!$F$14:$F$32,RAB!$C$14:$C$32,C863)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SUMIFS(RAB!$F$14:$F$32,RAB!$C$14:$C$32,C864)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SUMIFS(RAB!$F$14:$F$32,RAB!$C$14:$C$32,C865)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SUMIFS(RAB!$F$14:$F$32,RAB!$C$14:$C$32,C866)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SUMIFS(RAB!$F$14:$F$32,RAB!$C$14:$C$32,C867)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SUMIFS(RAB!$F$14:$F$32,RAB!$C$14:$C$32,C868)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SUMIFS(RAB!$F$14:$F$32,RAB!$C$14:$C$32,C869)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SUMIFS(RAB!$F$14:$F$32,RAB!$C$14:$C$32,C870)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SUMIFS(RAB!$F$14:$F$32,RAB!$C$14:$C$32,C871)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SUMIFS(RAB!$F$14:$F$32,RAB!$C$14:$C$32,C872)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SUMIFS(RAB!$F$14:$F$32,RAB!$C$14:$C$32,C873)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SUMIFS(RAB!$F$14:$F$32,RAB!$C$14:$C$32,C874)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SUMIFS(RAB!$F$14:$F$32,RAB!$C$14:$C$32,C875)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SUMIFS(RAB!$F$14:$F$32,RAB!$C$14:$C$32,C876)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SUMIFS(RAB!$F$14:$F$32,RAB!$C$14:$C$32,C877)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SUMIFS(RAB!$F$14:$F$32,RAB!$C$14:$C$32,C878)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SUMIFS(RAB!$F$14:$F$32,RAB!$C$14:$C$32,C879)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SUMIFS(RAB!$F$14:$F$32,RAB!$C$14:$C$32,C880)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SUMIFS(RAB!$F$14:$F$32,RAB!$C$14:$C$32,C881)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SUMIFS(RAB!$F$14:$F$32,RAB!$C$14:$C$32,C882)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SUMIFS(RAB!$F$14:$F$32,RAB!$C$14:$C$32,C883)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SUMIFS(RAB!$F$14:$F$32,RAB!$C$14:$C$32,C884)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SUMIFS(RAB!$F$14:$F$32,RAB!$C$14:$C$32,C885)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SUMIFS(RAB!$F$14:$F$32,RAB!$C$14:$C$32,C886)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SUMIFS(RAB!$F$14:$F$32,RAB!$C$14:$C$32,C887)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SUMIFS(RAB!$F$14:$F$32,RAB!$C$14:$C$32,C888)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SUMIFS(RAB!$F$14:$F$32,RAB!$C$14:$C$32,C889)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SUMIFS(RAB!$F$14:$F$32,RAB!$C$14:$C$32,C890)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SUMIFS(RAB!$F$14:$F$32,RAB!$C$14:$C$32,C891)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SUMIFS(RAB!$F$14:$F$32,RAB!$C$14:$C$32,C892)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SUMIFS(RAB!$F$14:$F$32,RAB!$C$14:$C$32,C893)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SUMIFS(RAB!$F$14:$F$32,RAB!$C$14:$C$32,C894)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SUMIFS(RAB!$F$14:$F$32,RAB!$C$14:$C$32,C895)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SUMIFS(RAB!$F$14:$F$32,RAB!$C$14:$C$32,C896)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SUMIFS(RAB!$F$14:$F$32,RAB!$C$14:$C$32,C897)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SUMIFS(RAB!$F$14:$F$32,RAB!$C$14:$C$32,C898)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SUMIFS(RAB!$F$14:$F$32,RAB!$C$14:$C$32,C899)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SUMIFS(RAB!$F$14:$F$32,RAB!$C$14:$C$32,C900)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SUMIFS(RAB!$F$14:$F$32,RAB!$C$14:$C$32,C901)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SUMIFS(RAB!$F$14:$F$32,RAB!$C$14:$C$32,C902)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SUMIFS(RAB!$F$14:$F$32,RAB!$C$14:$C$32,C903)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SUMIFS(RAB!$F$14:$F$32,RAB!$C$14:$C$32,C904)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SUMIFS(RAB!$F$14:$F$32,RAB!$C$14:$C$32,C905)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SUMIFS(RAB!$F$14:$F$32,RAB!$C$14:$C$32,C906)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SUMIFS(RAB!$F$14:$F$32,RAB!$C$14:$C$32,C907)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SUMIFS(RAB!$F$14:$F$32,RAB!$C$14:$C$32,C908)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SUMIFS(RAB!$F$14:$F$32,RAB!$C$14:$C$32,C909)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SUMIFS(RAB!$F$14:$F$32,RAB!$C$14:$C$32,C910)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SUMIFS(RAB!$F$14:$F$32,RAB!$C$14:$C$32,C911)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SUMIFS(RAB!$F$14:$F$32,RAB!$C$14:$C$32,C912)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SUMIFS(RAB!$F$14:$F$32,RAB!$C$14:$C$32,C913)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SUMIFS(RAB!$F$14:$F$32,RAB!$C$14:$C$32,C914)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SUMIFS(RAB!$F$14:$F$32,RAB!$C$14:$C$32,C915)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SUMIFS(RAB!$F$14:$F$32,RAB!$C$14:$C$32,C916)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SUMIFS(RAB!$F$14:$F$32,RAB!$C$14:$C$32,C917)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SUMIFS(RAB!$F$14:$F$32,RAB!$C$14:$C$32,C918)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SUMIFS(RAB!$F$14:$F$32,RAB!$C$14:$C$32,C919)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SUMIFS(RAB!$F$14:$F$32,RAB!$C$14:$C$32,C920)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SUMIFS(RAB!$F$14:$F$32,RAB!$C$14:$C$32,C921)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SUMIFS(RAB!$F$14:$F$32,RAB!$C$14:$C$32,C922)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SUMIFS(RAB!$F$14:$F$32,RAB!$C$14:$C$32,C923)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SUMIFS(RAB!$F$14:$F$32,RAB!$C$14:$C$32,C924)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SUMIFS(RAB!$F$14:$F$32,RAB!$C$14:$C$32,C925)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SUMIFS(RAB!$F$14:$F$32,RAB!$C$14:$C$32,C926)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SUMIFS(RAB!$F$14:$F$32,RAB!$C$14:$C$32,C927)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SUMIFS(RAB!$F$14:$F$32,RAB!$C$14:$C$32,C928)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SUMIFS(RAB!$F$14:$F$32,RAB!$C$14:$C$32,C929)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SUMIFS(RAB!$F$14:$F$32,RAB!$C$14:$C$32,C930)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SUMIFS(RAB!$F$14:$F$32,RAB!$C$14:$C$32,C931)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SUMIFS(RAB!$F$14:$F$32,RAB!$C$14:$C$32,C932)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SUMIFS(RAB!$F$14:$F$32,RAB!$C$14:$C$32,C933)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SUMIFS(RAB!$F$14:$F$32,RAB!$C$14:$C$32,C934)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SUMIFS(RAB!$F$14:$F$32,RAB!$C$14:$C$32,C935)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SUMIFS(RAB!$F$14:$F$32,RAB!$C$14:$C$32,C936)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SUMIFS(RAB!$F$14:$F$32,RAB!$C$14:$C$32,C937)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SUMIFS(RAB!$F$14:$F$32,RAB!$C$14:$C$32,C938)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SUMIFS(RAB!$F$14:$F$32,RAB!$C$14:$C$32,C939)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SUMIFS(RAB!$F$14:$F$32,RAB!$C$14:$C$32,C940)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SUMIFS(RAB!$F$14:$F$32,RAB!$C$14:$C$32,C941)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SUMIFS(RAB!$F$14:$F$32,RAB!$C$14:$C$32,C942)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SUMIFS(RAB!$F$14:$F$32,RAB!$C$14:$C$32,C943)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SUMIFS(RAB!$F$14:$F$32,RAB!$C$14:$C$32,C944)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SUMIFS(RAB!$F$14:$F$32,RAB!$C$14:$C$32,C945)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SUMIFS(RAB!$F$14:$F$32,RAB!$C$14:$C$32,C946)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SUMIFS(RAB!$F$14:$F$32,RAB!$C$14:$C$32,C947)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SUMIFS(RAB!$F$14:$F$32,RAB!$C$14:$C$32,C948)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SUMIFS(RAB!$F$14:$F$32,RAB!$C$14:$C$32,C949)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SUMIFS(RAB!$F$14:$F$32,RAB!$C$14:$C$32,C950)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SUMIFS(RAB!$F$14:$F$32,RAB!$C$14:$C$32,C951)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SUMIFS(RAB!$F$14:$F$32,RAB!$C$14:$C$32,C952)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SUMIFS(RAB!$F$14:$F$32,RAB!$C$14:$C$32,C953)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SUMIFS(RAB!$F$14:$F$32,RAB!$C$14:$C$32,C954)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SUMIFS(RAB!$F$14:$F$32,RAB!$C$14:$C$32,C955)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SUMIFS(RAB!$F$14:$F$32,RAB!$C$14:$C$32,C956)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SUMIFS(RAB!$F$14:$F$32,RAB!$C$14:$C$32,C957)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SUMIFS(RAB!$F$14:$F$32,RAB!$C$14:$C$32,C958)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SUMIFS(RAB!$F$14:$F$32,RAB!$C$14:$C$32,C959)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SUMIFS(RAB!$F$14:$F$32,RAB!$C$14:$C$32,C960)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SUMIFS(RAB!$F$14:$F$32,RAB!$C$14:$C$32,C961)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SUMIFS(RAB!$F$14:$F$32,RAB!$C$14:$C$32,C962)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SUMIFS(RAB!$F$14:$F$32,RAB!$C$14:$C$32,C963)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SUMIFS(RAB!$F$14:$F$32,RAB!$C$14:$C$32,C964)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SUMIFS(RAB!$F$14:$F$32,RAB!$C$14:$C$32,C965)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SUMIFS(RAB!$F$14:$F$32,RAB!$C$14:$C$32,C966)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SUMIFS(RAB!$F$14:$F$32,RAB!$C$14:$C$32,C967)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SUMIFS(RAB!$F$14:$F$32,RAB!$C$14:$C$32,C968)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SUMIFS(RAB!$F$14:$F$32,RAB!$C$14:$C$32,C969)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SUMIFS(RAB!$F$14:$F$32,RAB!$C$14:$C$32,C970)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SUMIFS(RAB!$F$14:$F$32,RAB!$C$14:$C$32,C971)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SUMIFS(RAB!$F$14:$F$32,RAB!$C$14:$C$32,C972)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SUMIFS(RAB!$F$14:$F$32,RAB!$C$14:$C$32,C973)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SUMIFS(RAB!$F$14:$F$32,RAB!$C$14:$C$32,C974)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SUMIFS(RAB!$F$14:$F$32,RAB!$C$14:$C$32,C975)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SUMIFS(RAB!$F$14:$F$32,RAB!$C$14:$C$32,C976)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SUMIFS(RAB!$F$14:$F$32,RAB!$C$14:$C$32,C977)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SUMIFS(RAB!$F$14:$F$32,RAB!$C$14:$C$32,C978)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SUMIFS(RAB!$F$14:$F$32,RAB!$C$14:$C$32,C979)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SUMIFS(RAB!$F$14:$F$32,RAB!$C$14:$C$32,C980)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SUMIFS(RAB!$F$14:$F$32,RAB!$C$14:$C$32,C981)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SUMIFS(RAB!$F$14:$F$32,RAB!$C$14:$C$32,C982)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SUMIFS(RAB!$F$14:$F$32,RAB!$C$14:$C$32,C983)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SUMIFS(RAB!$F$14:$F$32,RAB!$C$14:$C$32,C984)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SUMIFS(RAB!$F$14:$F$32,RAB!$C$14:$C$32,C985)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SUMIFS(RAB!$F$14:$F$32,RAB!$C$14:$C$32,C986)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SUMIFS(RAB!$F$14:$F$32,RAB!$C$14:$C$32,C987)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SUMIFS(RAB!$F$14:$F$32,RAB!$C$14:$C$32,C988)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SUMIFS(RAB!$F$14:$F$32,RAB!$C$14:$C$32,C989)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SUMIFS(RAB!$F$14:$F$32,RAB!$C$14:$C$32,C990)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SUMIFS(RAB!$F$14:$F$32,RAB!$C$14:$C$32,C991)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SUMIFS(RAB!$F$14:$F$32,RAB!$C$14:$C$32,C992)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SUMIFS(RAB!$F$14:$F$32,RAB!$C$14:$C$32,C993)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SUMIFS(RAB!$F$14:$F$32,RAB!$C$14:$C$32,C994)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SUMIFS(RAB!$F$14:$F$32,RAB!$C$14:$C$32,C995)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SUMIFS(RAB!$F$14:$F$32,RAB!$C$14:$C$32,C996)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SUMIFS(RAB!$F$14:$F$32,RAB!$C$14:$C$32,C997)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SUMIFS(RAB!$F$14:$F$32,RAB!$C$14:$C$32,C998)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SUMIFS(RAB!$F$14:$F$32,RAB!$C$14:$C$32,C999)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SUMIFS(RAB!$F$14:$F$32,RAB!$C$14:$C$32,C1000)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SUMIFS(RAB!$F$14:$F$32,RAB!$C$14:$C$32,C1001)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SUMIFS(RAB!$F$14:$F$32,RAB!$C$14:$C$32,C1002)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SUMIFS(RAB!$F$14:$F$32,RAB!$C$14:$C$32,C1003)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SUMIFS(RAB!$F$14:$F$32,RAB!$C$14:$C$32,C1004)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SUMIFS(RAB!$F$14:$F$32,RAB!$C$14:$C$32,C1005)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SUMIFS(RAB!$F$14:$F$32,RAB!$C$14:$C$32,C1006)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SUMIFS(RAB!$F$14:$F$32,RAB!$C$14:$C$32,C1007)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SUMIFS(RAB!$F$14:$F$32,RAB!$C$14:$C$32,C1008)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SUMIFS(RAB!$F$14:$F$32,RAB!$C$14:$C$32,C1009)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SUMIFS(RAB!$F$14:$F$32,RAB!$C$14:$C$32,C1010)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SUMIFS(RAB!$F$14:$F$32,RAB!$C$14:$C$32,C1011)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SUMIFS(RAB!$F$14:$F$32,RAB!$C$14:$C$32,C1012)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SUMIFS(RAB!$F$14:$F$32,RAB!$C$14:$C$32,C1013)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SUMIFS(RAB!$F$14:$F$32,RAB!$C$14:$C$32,C1014)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SUMIFS(RAB!$F$14:$F$32,RAB!$C$14:$C$32,C1015)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SUMIFS(RAB!$F$14:$F$32,RAB!$C$14:$C$32,C1016)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SUMIFS(RAB!$F$14:$F$32,RAB!$C$14:$C$32,C1017)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SUMIFS(RAB!$F$14:$F$32,RAB!$C$14:$C$32,C1018)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SUMIFS(RAB!$F$14:$F$32,RAB!$C$14:$C$32,C1019)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SUMIFS(RAB!$F$14:$F$32,RAB!$C$14:$C$32,C1020)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SUMIFS(RAB!$F$14:$F$32,RAB!$C$14:$C$32,C1021)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SUMIFS(RAB!$F$14:$F$32,RAB!$C$14:$C$32,C1022)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SUMIFS(RAB!$F$14:$F$32,RAB!$C$14:$C$32,C1023)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SUMIFS(RAB!$F$14:$F$32,RAB!$C$14:$C$32,C1024)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SUMIFS(RAB!$F$14:$F$32,RAB!$C$14:$C$32,C1025)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SUMIFS(RAB!$F$14:$F$32,RAB!$C$14:$C$32,C1026)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SUMIFS(RAB!$F$14:$F$32,RAB!$C$14:$C$32,C1027)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SUMIFS(RAB!$F$14:$F$32,RAB!$C$14:$C$32,C1028)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SUMIFS(RAB!$F$14:$F$32,RAB!$C$14:$C$32,C1029)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SUMIFS(RAB!$F$14:$F$32,RAB!$C$14:$C$32,C1030)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SUMIFS(RAB!$F$14:$F$32,RAB!$C$14:$C$32,C1031)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SUMIFS(RAB!$F$14:$F$32,RAB!$C$14:$C$32,C1032)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SUMIFS(RAB!$F$14:$F$32,RAB!$C$14:$C$32,C1033)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SUMIFS(RAB!$F$14:$F$32,RAB!$C$14:$C$32,C1034)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SUMIFS(RAB!$F$14:$F$32,RAB!$C$14:$C$32,C1035)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SUMIFS(RAB!$F$14:$F$32,RAB!$C$14:$C$32,C1036)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SUMIFS(RAB!$F$14:$F$32,RAB!$C$14:$C$32,C1037)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SUMIFS(RAB!$F$14:$F$32,RAB!$C$14:$C$32,C1038)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SUMIFS(RAB!$F$14:$F$32,RAB!$C$14:$C$32,C1039)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SUMIFS(RAB!$F$14:$F$32,RAB!$C$14:$C$32,C1040)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SUMIFS(RAB!$F$14:$F$32,RAB!$C$14:$C$32,C1041)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SUMIFS(RAB!$F$14:$F$32,RAB!$C$14:$C$32,C1042)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SUMIFS(RAB!$F$14:$F$32,RAB!$C$14:$C$32,C1043)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SUMIFS(RAB!$F$14:$F$32,RAB!$C$14:$C$32,C1044)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SUMIFS(RAB!$F$14:$F$32,RAB!$C$14:$C$32,C1045)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SUMIFS(RAB!$F$14:$F$32,RAB!$C$14:$C$32,C1046)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SUMIFS(RAB!$F$14:$F$32,RAB!$C$14:$C$32,C1047)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SUMIFS(RAB!$F$14:$F$32,RAB!$C$14:$C$32,C1048)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SUMIFS(RAB!$F$14:$F$32,RAB!$C$14:$C$32,C1049)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SUMIFS(RAB!$F$14:$F$32,RAB!$C$14:$C$32,C1050)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SUMIFS(RAB!$F$14:$F$32,RAB!$C$14:$C$32,C1051)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SUMIFS(RAB!$F$14:$F$32,RAB!$C$14:$C$32,C1052)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SUMIFS(RAB!$F$14:$F$32,RAB!$C$14:$C$32,C1053)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SUMIFS(RAB!$F$14:$F$32,RAB!$C$14:$C$32,C1054)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SUMIFS(RAB!$F$14:$F$32,RAB!$C$14:$C$32,C1055)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SUMIFS(RAB!$F$14:$F$32,RAB!$C$14:$C$32,C1056)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SUMIFS(RAB!$F$14:$F$32,RAB!$C$14:$C$32,C1057)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SUMIFS(RAB!$F$14:$F$32,RAB!$C$14:$C$32,C1058)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SUMIFS(RAB!$F$14:$F$32,RAB!$C$14:$C$32,C1059)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SUMIFS(RAB!$F$14:$F$32,RAB!$C$14:$C$32,C1060)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SUMIFS(RAB!$F$14:$F$32,RAB!$C$14:$C$32,C1061)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SUMIFS(RAB!$F$14:$F$32,RAB!$C$14:$C$32,C1062)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SUMIFS(RAB!$F$14:$F$32,RAB!$C$14:$C$32,C1063)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SUMIFS(RAB!$F$14:$F$32,RAB!$C$14:$C$32,C1064)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SUMIFS(RAB!$F$14:$F$32,RAB!$C$14:$C$32,C1065)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SUMIFS(RAB!$F$14:$F$32,RAB!$C$14:$C$32,C1066)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SUMIFS(RAB!$F$14:$F$32,RAB!$C$14:$C$32,C1067)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SUMIFS(RAB!$F$14:$F$32,RAB!$C$14:$C$32,C1068)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SUMIFS(RAB!$F$14:$F$32,RAB!$C$14:$C$32,C1069)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SUMIFS(RAB!$F$14:$F$32,RAB!$C$14:$C$32,C1070)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SUMIFS(RAB!$F$14:$F$32,RAB!$C$14:$C$32,C1071)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SUMIFS(RAB!$F$14:$F$32,RAB!$C$14:$C$32,C1072)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SUMIFS(RAB!$F$14:$F$32,RAB!$C$14:$C$32,C1073)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SUMIFS(RAB!$F$14:$F$32,RAB!$C$14:$C$32,C1074)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SUMIFS(RAB!$F$14:$F$32,RAB!$C$14:$C$32,C1075)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SUMIFS(RAB!$F$14:$F$32,RAB!$C$14:$C$32,C1076)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SUMIFS(RAB!$F$14:$F$32,RAB!$C$14:$C$32,C1077)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SUMIFS(RAB!$F$14:$F$32,RAB!$C$14:$C$32,C1078)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SUMIFS(RAB!$F$14:$F$32,RAB!$C$14:$C$32,C1079)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SUMIFS(RAB!$F$14:$F$32,RAB!$C$14:$C$32,C1080)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SUMIFS(RAB!$F$14:$F$32,RAB!$C$14:$C$32,C1081)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SUMIFS(RAB!$F$14:$F$32,RAB!$C$14:$C$32,C1082)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SUMIFS(RAB!$F$14:$F$32,RAB!$C$14:$C$32,C1083)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SUMIFS(RAB!$F$14:$F$32,RAB!$C$14:$C$32,C1084)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SUMIFS(RAB!$F$14:$F$32,RAB!$C$14:$C$32,C1085)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SUMIFS(RAB!$F$14:$F$32,RAB!$C$14:$C$32,C1086)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SUMIFS(RAB!$F$14:$F$32,RAB!$C$14:$C$32,C1087)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SUMIFS(RAB!$F$14:$F$32,RAB!$C$14:$C$32,C1088)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SUMIFS(RAB!$F$14:$F$32,RAB!$C$14:$C$32,C1089)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SUMIFS(RAB!$F$14:$F$32,RAB!$C$14:$C$32,C1090)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SUMIFS(RAB!$F$14:$F$32,RAB!$C$14:$C$32,C1091)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SUMIFS(RAB!$F$14:$F$32,RAB!$C$14:$C$32,C1092)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SUMIFS(RAB!$F$14:$F$32,RAB!$C$14:$C$32,C1093)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SUMIFS(RAB!$F$14:$F$32,RAB!$C$14:$C$32,C1094)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SUMIFS(RAB!$F$14:$F$32,RAB!$C$14:$C$32,C1095)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SUMIFS(RAB!$F$14:$F$32,RAB!$C$14:$C$32,C1096)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SUMIFS(RAB!$F$14:$F$32,RAB!$C$14:$C$32,C1097)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SUMIFS(RAB!$F$14:$F$32,RAB!$C$14:$C$32,C1098)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SUMIFS(RAB!$F$14:$F$32,RAB!$C$14:$C$32,C1099)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SUMIFS(RAB!$F$14:$F$32,RAB!$C$14:$C$32,C1100)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SUMIFS(RAB!$F$14:$F$32,RAB!$C$14:$C$32,C1101)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SUMIFS(RAB!$F$14:$F$32,RAB!$C$14:$C$32,C1102)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SUMIFS(RAB!$F$14:$F$32,RAB!$C$14:$C$32,C1103)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SUMIFS(RAB!$F$14:$F$32,RAB!$C$14:$C$32,C1104)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SUMIFS(RAB!$F$14:$F$32,RAB!$C$14:$C$32,C1105)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SUMIFS(RAB!$F$14:$F$32,RAB!$C$14:$C$32,C1106)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SUMIFS(RAB!$F$14:$F$32,RAB!$C$14:$C$32,C1107)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SUMIFS(RAB!$F$14:$F$32,RAB!$C$14:$C$32,C1108)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SUMIFS(RAB!$F$14:$F$32,RAB!$C$14:$C$32,C1109)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SUMIFS(RAB!$F$14:$F$32,RAB!$C$14:$C$32,C1110)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SUMIFS(RAB!$F$14:$F$32,RAB!$C$14:$C$32,C1111)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SUMIFS(RAB!$F$14:$F$32,RAB!$C$14:$C$32,C1112)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SUMIFS(RAB!$F$14:$F$32,RAB!$C$14:$C$32,C1113)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SUMIFS(RAB!$F$14:$F$32,RAB!$C$14:$C$32,C1114)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SUMIFS(RAB!$F$14:$F$32,RAB!$C$14:$C$32,C1115)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SUMIFS(RAB!$F$14:$F$32,RAB!$C$14:$C$32,C1116)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SUMIFS(RAB!$F$14:$F$32,RAB!$C$14:$C$32,C1117)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SUMIFS(RAB!$F$14:$F$32,RAB!$C$14:$C$32,C1118)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SUMIFS(RAB!$F$14:$F$32,RAB!$C$14:$C$32,C1119)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SUMIFS(RAB!$F$14:$F$32,RAB!$C$14:$C$32,C1120)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SUMIFS(RAB!$F$14:$F$32,RAB!$C$14:$C$32,C1121)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SUMIFS(RAB!$F$14:$F$32,RAB!$C$14:$C$32,C1122)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SUMIFS(RAB!$F$14:$F$32,RAB!$C$14:$C$32,C1123)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SUMIFS(RAB!$F$14:$F$32,RAB!$C$14:$C$32,C1124)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SUMIFS(RAB!$F$14:$F$32,RAB!$C$14:$C$32,C1125)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SUMIFS(RAB!$F$14:$F$32,RAB!$C$14:$C$32,C1126)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SUMIFS(RAB!$F$14:$F$32,RAB!$C$14:$C$32,C1127)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SUMIFS(RAB!$F$14:$F$32,RAB!$C$14:$C$32,C1128)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SUMIFS(RAB!$F$14:$F$32,RAB!$C$14:$C$32,C1129)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SUMIFS(RAB!$F$14:$F$32,RAB!$C$14:$C$32,C1130)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SUMIFS(RAB!$F$14:$F$32,RAB!$C$14:$C$32,C1131)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SUMIFS(RAB!$F$14:$F$32,RAB!$C$14:$C$32,C1132)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SUMIFS(RAB!$F$14:$F$32,RAB!$C$14:$C$32,C1133)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SUMIFS(RAB!$F$14:$F$32,RAB!$C$14:$C$32,C1134)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SUMIFS(RAB!$F$14:$F$32,RAB!$C$14:$C$32,C1135)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SUMIFS(RAB!$F$14:$F$32,RAB!$C$14:$C$32,C1136)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SUMIFS(RAB!$F$14:$F$32,RAB!$C$14:$C$32,C1137)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SUMIFS(RAB!$F$14:$F$32,RAB!$C$14:$C$32,C1138)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SUMIFS(RAB!$F$14:$F$32,RAB!$C$14:$C$32,C1139)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SUMIFS(RAB!$F$14:$F$32,RAB!$C$14:$C$32,C1140)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SUMIFS(RAB!$F$14:$F$32,RAB!$C$14:$C$32,C1141)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SUMIFS(RAB!$F$14:$F$32,RAB!$C$14:$C$32,C1142)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SUMIFS(RAB!$F$14:$F$32,RAB!$C$14:$C$32,C1143)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SUMIFS(RAB!$F$14:$F$32,RAB!$C$14:$C$32,C1144)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SUMIFS(RAB!$F$14:$F$32,RAB!$C$14:$C$32,C1145)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SUMIFS(RAB!$F$14:$F$32,RAB!$C$14:$C$32,C1146)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SUMIFS(RAB!$F$14:$F$32,RAB!$C$14:$C$32,C1147)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SUMIFS(RAB!$F$14:$F$32,RAB!$C$14:$C$32,C1148)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SUMIFS(RAB!$F$14:$F$32,RAB!$C$14:$C$32,C1149)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SUMIFS(RAB!$F$14:$F$32,RAB!$C$14:$C$32,C1150)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SUMIFS(RAB!$F$14:$F$32,RAB!$C$14:$C$32,C1151)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SUMIFS(RAB!$F$14:$F$32,RAB!$C$14:$C$32,C1152)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SUMIFS(RAB!$F$14:$F$32,RAB!$C$14:$C$32,C1153)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SUMIFS(RAB!$F$14:$F$32,RAB!$C$14:$C$32,C1154)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SUMIFS(RAB!$F$14:$F$32,RAB!$C$14:$C$32,C1155)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SUMIFS(RAB!$F$14:$F$32,RAB!$C$14:$C$32,C1156)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SUMIFS(RAB!$F$14:$F$32,RAB!$C$14:$C$32,C1157)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SUMIFS(RAB!$F$14:$F$32,RAB!$C$14:$C$32,C1158)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SUMIFS(RAB!$F$14:$F$32,RAB!$C$14:$C$32,C1159)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SUMIFS(RAB!$F$14:$F$32,RAB!$C$14:$C$32,C1160)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SUMIFS(RAB!$F$14:$F$32,RAB!$C$14:$C$32,C1161)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SUMIFS(RAB!$F$14:$F$32,RAB!$C$14:$C$32,C1162)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SUMIFS(RAB!$F$14:$F$32,RAB!$C$14:$C$32,C1163)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SUMIFS(RAB!$F$14:$F$32,RAB!$C$14:$C$32,C1164)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SUMIFS(RAB!$F$14:$F$32,RAB!$C$14:$C$32,C1165)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SUMIFS(RAB!$F$14:$F$32,RAB!$C$14:$C$32,C1166)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SUMIFS(RAB!$F$14:$F$32,RAB!$C$14:$C$32,C1167)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SUMIFS(RAB!$F$14:$F$32,RAB!$C$14:$C$32,C1168)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SUMIFS(RAB!$F$14:$F$32,RAB!$C$14:$C$32,C1169)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SUMIFS(RAB!$F$14:$F$32,RAB!$C$14:$C$32,C1170)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SUMIFS(RAB!$F$14:$F$32,RAB!$C$14:$C$32,C1171)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SUMIFS(RAB!$F$14:$F$32,RAB!$C$14:$C$32,C1172)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SUMIFS(RAB!$F$14:$F$32,RAB!$C$14:$C$32,C1173)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SUMIFS(RAB!$F$14:$F$32,RAB!$C$14:$C$32,C1174)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SUMIFS(RAB!$F$14:$F$32,RAB!$C$14:$C$32,C1175)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SUMIFS(RAB!$F$14:$F$32,RAB!$C$14:$C$32,C1176)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SUMIFS(RAB!$F$14:$F$32,RAB!$C$14:$C$32,C1177)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SUMIFS(RAB!$F$14:$F$32,RAB!$C$14:$C$32,C1178)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SUMIFS(RAB!$F$14:$F$32,RAB!$C$14:$C$32,C1179)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SUMIFS(RAB!$F$14:$F$32,RAB!$C$14:$C$32,C1180)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SUMIFS(RAB!$F$14:$F$32,RAB!$C$14:$C$32,C1181)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SUMIFS(RAB!$F$14:$F$32,RAB!$C$14:$C$32,C1182)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SUMIFS(RAB!$F$14:$F$32,RAB!$C$14:$C$32,C1183)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SUMIFS(RAB!$F$14:$F$32,RAB!$C$14:$C$32,C1184)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SUMIFS(RAB!$F$14:$F$32,RAB!$C$14:$C$32,C1185)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SUMIFS(RAB!$F$14:$F$32,RAB!$C$14:$C$32,C1186)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SUMIFS(RAB!$F$14:$F$32,RAB!$C$14:$C$32,C1187)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SUMIFS(RAB!$F$14:$F$32,RAB!$C$14:$C$32,C1188)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SUMIFS(RAB!$F$14:$F$32,RAB!$C$14:$C$32,C1189)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SUMIFS(RAB!$F$14:$F$32,RAB!$C$14:$C$32,C1190)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SUMIFS(RAB!$F$14:$F$32,RAB!$C$14:$C$32,C1191)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SUMIFS(RAB!$F$14:$F$32,RAB!$C$14:$C$32,C1192)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SUMIFS(RAB!$F$14:$F$32,RAB!$C$14:$C$32,C1193)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SUMIFS(RAB!$F$14:$F$32,RAB!$C$14:$C$32,C1194)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SUMIFS(RAB!$F$14:$F$32,RAB!$C$14:$C$32,C1195)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SUMIFS(RAB!$F$14:$F$32,RAB!$C$14:$C$32,C1196)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SUMIFS(RAB!$F$14:$F$32,RAB!$C$14:$C$32,C1197)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SUMIFS(RAB!$F$14:$F$32,RAB!$C$14:$C$32,C1198)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SUMIFS(RAB!$F$14:$F$32,RAB!$C$14:$C$32,C1199)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SUMIFS(RAB!$F$14:$F$32,RAB!$C$14:$C$32,C1200)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SUMIFS(RAB!$F$14:$F$32,RAB!$C$14:$C$32,C1201)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SUMIFS(RAB!$F$14:$F$32,RAB!$C$14:$C$32,C1202)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SUMIFS(RAB!$F$14:$F$32,RAB!$C$14:$C$32,C1203)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SUMIFS(RAB!$F$14:$F$32,RAB!$C$14:$C$32,C1204)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SUMIFS(RAB!$F$14:$F$32,RAB!$C$14:$C$32,C1205)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SUMIFS(RAB!$F$14:$F$32,RAB!$C$14:$C$32,C1206)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SUMIFS(RAB!$F$14:$F$32,RAB!$C$14:$C$32,C1207)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SUMIFS(RAB!$F$14:$F$32,RAB!$C$14:$C$32,C1208)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SUMIFS(RAB!$F$14:$F$32,RAB!$C$14:$C$32,C1209)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SUMIFS(RAB!$F$14:$F$32,RAB!$C$14:$C$32,C1210)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SUMIFS(RAB!$F$14:$F$32,RAB!$C$14:$C$32,C1211)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SUMIFS(RAB!$F$14:$F$32,RAB!$C$14:$C$32,C1212)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SUMIFS(RAB!$F$14:$F$32,RAB!$C$14:$C$32,C1213)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SUMIFS(RAB!$F$14:$F$32,RAB!$C$14:$C$32,C1214)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SUMIFS(RAB!$F$14:$F$32,RAB!$C$14:$C$32,C1215)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SUMIFS(RAB!$F$14:$F$32,RAB!$C$14:$C$32,C1216)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SUMIFS(RAB!$F$14:$F$32,RAB!$C$14:$C$32,C1217)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SUMIFS(RAB!$F$14:$F$32,RAB!$C$14:$C$32,C1218)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SUMIFS(RAB!$F$14:$F$32,RAB!$C$14:$C$32,C1219)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SUMIFS(RAB!$F$14:$F$32,RAB!$C$14:$C$32,C1220)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SUMIFS(RAB!$F$14:$F$32,RAB!$C$14:$C$32,C1221)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SUMIFS(RAB!$F$14:$F$32,RAB!$C$14:$C$32,C1222)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SUMIFS(RAB!$F$14:$F$32,RAB!$C$14:$C$32,C1223)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SUMIFS(RAB!$F$14:$F$32,RAB!$C$14:$C$32,C1224)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SUMIFS(RAB!$F$14:$F$32,RAB!$C$14:$C$32,C1225)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SUMIFS(RAB!$F$14:$F$32,RAB!$C$14:$C$32,C1226)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SUMIFS(RAB!$F$14:$F$32,RAB!$C$14:$C$32,C1227)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SUMIFS(RAB!$F$14:$F$32,RAB!$C$14:$C$32,C1228)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SUMIFS(RAB!$F$14:$F$32,RAB!$C$14:$C$32,C1229)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SUMIFS(RAB!$F$14:$F$32,RAB!$C$14:$C$32,C1230)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SUMIFS(RAB!$F$14:$F$32,RAB!$C$14:$C$32,C1231)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SUMIFS(RAB!$F$14:$F$32,RAB!$C$14:$C$32,C1232)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SUMIFS(RAB!$F$14:$F$32,RAB!$C$14:$C$32,C1233)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SUMIFS(RAB!$F$14:$F$32,RAB!$C$14:$C$32,C1234)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SUMIFS(RAB!$F$14:$F$32,RAB!$C$14:$C$32,C1235)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SUMIFS(RAB!$F$14:$F$32,RAB!$C$14:$C$32,C1236)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SUMIFS(RAB!$F$14:$F$32,RAB!$C$14:$C$32,C1237)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SUMIFS(RAB!$F$14:$F$32,RAB!$C$14:$C$32,C1238)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SUMIFS(RAB!$F$14:$F$32,RAB!$C$14:$C$32,C1239)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SUMIFS(RAB!$F$14:$F$32,RAB!$C$14:$C$32,C1240)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SUMIFS(RAB!$F$14:$F$32,RAB!$C$14:$C$32,C1241)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SUMIFS(RAB!$F$14:$F$32,RAB!$C$14:$C$32,C1242)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SUMIFS(RAB!$F$14:$F$32,RAB!$C$14:$C$32,C1243)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SUMIFS(RAB!$F$14:$F$32,RAB!$C$14:$C$32,C1244)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SUMIFS(RAB!$F$14:$F$32,RAB!$C$14:$C$32,C1245)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SUMIFS(RAB!$F$14:$F$32,RAB!$C$14:$C$32,C1246)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SUMIFS(RAB!$F$14:$F$32,RAB!$C$14:$C$32,C1247)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SUMIFS(RAB!$F$14:$F$32,RAB!$C$14:$C$32,C1248)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SUMIFS(RAB!$F$14:$F$32,RAB!$C$14:$C$32,C1249)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SUMIFS(RAB!$F$14:$F$32,RAB!$C$14:$C$32,C1250)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SUMIFS(RAB!$F$14:$F$32,RAB!$C$14:$C$32,C1251)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SUMIFS(RAB!$F$14:$F$32,RAB!$C$14:$C$32,C1252)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SUMIFS(RAB!$F$14:$F$32,RAB!$C$14:$C$32,C1253)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SUMIFS(RAB!$F$14:$F$32,RAB!$C$14:$C$32,C1254)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SUMIFS(RAB!$F$14:$F$32,RAB!$C$14:$C$32,C1255)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SUMIFS(RAB!$F$14:$F$32,RAB!$C$14:$C$32,C1256)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SUMIFS(RAB!$F$14:$F$32,RAB!$C$14:$C$32,C1257)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SUMIFS(RAB!$F$14:$F$32,RAB!$C$14:$C$32,C1258)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SUMIFS(RAB!$F$14:$F$32,RAB!$C$14:$C$32,C1259)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SUMIFS(RAB!$F$14:$F$32,RAB!$C$14:$C$32,C1260)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SUMIFS(RAB!$F$14:$F$32,RAB!$C$14:$C$32,C1261)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SUMIFS(RAB!$F$14:$F$32,RAB!$C$14:$C$32,C1262)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SUMIFS(RAB!$F$14:$F$32,RAB!$C$14:$C$32,C1263)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SUMIFS(RAB!$F$14:$F$32,RAB!$C$14:$C$32,C1264)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SUMIFS(RAB!$F$14:$F$32,RAB!$C$14:$C$32,C1265)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SUMIFS(RAB!$F$14:$F$32,RAB!$C$14:$C$32,C1266)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SUMIFS(RAB!$F$14:$F$32,RAB!$C$14:$C$32,C1267)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SUMIFS(RAB!$F$14:$F$32,RAB!$C$14:$C$32,C1268)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SUMIFS(RAB!$F$14:$F$32,RAB!$C$14:$C$32,C1269)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SUMIFS(RAB!$F$14:$F$32,RAB!$C$14:$C$32,C1270)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SUMIFS(RAB!$F$14:$F$32,RAB!$C$14:$C$32,C1271)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SUMIFS(RAB!$F$14:$F$32,RAB!$C$14:$C$32,C1272)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SUMIFS(RAB!$F$14:$F$32,RAB!$C$14:$C$32,C1273)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SUMIFS(RAB!$F$14:$F$32,RAB!$C$14:$C$32,C1274)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SUMIFS(RAB!$F$14:$F$32,RAB!$C$14:$C$32,C1275)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SUMIFS(RAB!$F$14:$F$32,RAB!$C$14:$C$32,C1276)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SUMIFS(RAB!$F$14:$F$32,RAB!$C$14:$C$32,C1277)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SUMIFS(RAB!$F$14:$F$32,RAB!$C$14:$C$32,C1278)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SUMIFS(RAB!$F$14:$F$32,RAB!$C$14:$C$32,C1279)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SUMIFS(RAB!$F$14:$F$32,RAB!$C$14:$C$32,C1280)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SUMIFS(RAB!$F$14:$F$32,RAB!$C$14:$C$32,C1281)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SUMIFS(RAB!$F$14:$F$32,RAB!$C$14:$C$32,C1282)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SUMIFS(RAB!$F$14:$F$32,RAB!$C$14:$C$32,C1283)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SUMIFS(RAB!$F$14:$F$32,RAB!$C$14:$C$32,C1284)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SUMIFS(RAB!$F$14:$F$32,RAB!$C$14:$C$32,C1285)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SUMIFS(RAB!$F$14:$F$32,RAB!$C$14:$C$32,C1286)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SUMIFS(RAB!$F$14:$F$32,RAB!$C$14:$C$32,C1287)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SUMIFS(RAB!$F$14:$F$32,RAB!$C$14:$C$32,C1288)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SUMIFS(RAB!$F$14:$F$32,RAB!$C$14:$C$32,C1289)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SUMIFS(RAB!$F$14:$F$32,RAB!$C$14:$C$32,C1290)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SUMIFS(RAB!$F$14:$F$32,RAB!$C$14:$C$32,C1291)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SUMIFS(RAB!$F$14:$F$32,RAB!$C$14:$C$32,C1292)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SUMIFS(RAB!$F$14:$F$32,RAB!$C$14:$C$32,C1293)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SUMIFS(RAB!$F$14:$F$32,RAB!$C$14:$C$32,C1294)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SUMIFS(RAB!$F$14:$F$32,RAB!$C$14:$C$32,C1295)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SUMIFS(RAB!$F$14:$F$32,RAB!$C$14:$C$32,C1296)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SUMIFS(RAB!$F$14:$F$32,RAB!$C$14:$C$32,C1297)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SUMIFS(RAB!$F$14:$F$32,RAB!$C$14:$C$32,C1298)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SUMIFS(RAB!$F$14:$F$32,RAB!$C$14:$C$32,C1299)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SUMIFS(RAB!$F$14:$F$32,RAB!$C$14:$C$32,C1300)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SUMIFS(RAB!$F$14:$F$32,RAB!$C$14:$C$32,C1301)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SUMIFS(RAB!$F$14:$F$32,RAB!$C$14:$C$32,C1302)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SUMIFS(RAB!$F$14:$F$32,RAB!$C$14:$C$32,C1303)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SUMIFS(RAB!$F$14:$F$32,RAB!$C$14:$C$32,C1304)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SUMIFS(RAB!$F$14:$F$32,RAB!$C$14:$C$32,C1305)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SUMIFS(RAB!$F$14:$F$32,RAB!$C$14:$C$32,C1306)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SUMIFS(RAB!$F$14:$F$32,RAB!$C$14:$C$32,C1307)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SUMIFS(RAB!$F$14:$F$32,RAB!$C$14:$C$32,C1308)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SUMIFS(RAB!$F$14:$F$32,RAB!$C$14:$C$32,C1309)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SUMIFS(RAB!$F$14:$F$32,RAB!$C$14:$C$32,C1310)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SUMIFS(RAB!$F$14:$F$32,RAB!$C$14:$C$32,C1311)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SUMIFS(RAB!$F$14:$F$32,RAB!$C$14:$C$32,C1312)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SUMIFS(RAB!$F$14:$F$32,RAB!$C$14:$C$32,C1313)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SUMIFS(RAB!$F$14:$F$32,RAB!$C$14:$C$32,C1314)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SUMIFS(RAB!$F$14:$F$32,RAB!$C$14:$C$32,C1315)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SUMIFS(RAB!$F$14:$F$32,RAB!$C$14:$C$32,C1316)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SUMIFS(RAB!$F$14:$F$32,RAB!$C$14:$C$32,C1317)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SUMIFS(RAB!$F$14:$F$32,RAB!$C$14:$C$32,C1318)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SUMIFS(RAB!$F$14:$F$32,RAB!$C$14:$C$32,C1319)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SUMIFS(RAB!$F$14:$F$32,RAB!$C$14:$C$32,C1320)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7" priority="5" operator="equal">
      <formula>0</formula>
    </cfRule>
  </conditionalFormatting>
  <conditionalFormatting sqref="A10:L65536">
    <cfRule type="cellIs" dxfId="46" priority="1" operator="equal">
      <formula>0</formula>
    </cfRule>
  </conditionalFormatting>
  <conditionalFormatting sqref="C12:C711">
    <cfRule type="cellIs" dxfId="45" priority="66" stopIfTrue="1" operator="equal">
      <formula>0</formula>
    </cfRule>
  </conditionalFormatting>
  <conditionalFormatting sqref="E712:E65536">
    <cfRule type="cellIs" dxfId="44" priority="16" stopIfTrue="1" operator="equal">
      <formula>0</formula>
    </cfRule>
  </conditionalFormatting>
  <conditionalFormatting sqref="G1:G11 E6:E11 E1:E3 H7 H10:H11 F10:F711 G712:G65536">
    <cfRule type="cellIs" dxfId="43" priority="69" stopIfTrue="1" operator="equal">
      <formula>0</formula>
    </cfRule>
  </conditionalFormatting>
  <conditionalFormatting sqref="G12:H711">
    <cfRule type="cellIs" dxfId="42" priority="12" stopIfTrue="1" operator="equal">
      <formula>0</formula>
    </cfRule>
  </conditionalFormatting>
  <conditionalFormatting sqref="I7:K7">
    <cfRule type="cellIs" dxfId="41" priority="4" stopIfTrue="1" operator="equal">
      <formula>0</formula>
    </cfRule>
  </conditionalFormatting>
  <conditionalFormatting sqref="I10:L711">
    <cfRule type="cellIs" dxfId="40" priority="2" stopIfTrue="1" operator="equal">
      <formula>0</formula>
    </cfRule>
  </conditionalFormatting>
  <conditionalFormatting sqref="L1:L6">
    <cfRule type="cellIs" dxfId="39" priority="10" operator="equal">
      <formula>0</formula>
    </cfRule>
  </conditionalFormatting>
  <conditionalFormatting sqref="M1:IV1048576 A8:G9">
    <cfRule type="cellIs" dxfId="3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9" t="s">
        <v>1127</v>
      </c>
      <c r="C4" s="529"/>
      <c r="D4" s="529"/>
      <c r="E4" s="529"/>
      <c r="F4" s="529"/>
      <c r="G4" s="529"/>
      <c r="H4" s="529"/>
      <c r="I4" s="529"/>
      <c r="J4" s="529"/>
      <c r="K4" s="52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2" t="str">
        <f>RAB!G6</f>
        <v>HJ KASMI</v>
      </c>
      <c r="H6" s="522"/>
      <c r="I6" s="522"/>
      <c r="J6" s="522"/>
      <c r="K6" s="52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MRANAK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0" t="s">
        <v>0</v>
      </c>
      <c r="C11" s="532" t="s">
        <v>1</v>
      </c>
      <c r="D11" s="535" t="s">
        <v>42</v>
      </c>
      <c r="E11" s="535" t="s">
        <v>43</v>
      </c>
      <c r="F11" s="535" t="s">
        <v>2</v>
      </c>
      <c r="G11" s="536" t="s">
        <v>41</v>
      </c>
      <c r="H11" s="535" t="s">
        <v>3</v>
      </c>
      <c r="I11" s="535"/>
      <c r="J11" s="535"/>
      <c r="K11" s="539"/>
      <c r="M11" s="33"/>
      <c r="N11" s="33"/>
      <c r="O11" s="33"/>
      <c r="P11" s="33"/>
      <c r="R11" s="34"/>
      <c r="S11" s="74"/>
      <c r="T11" s="74"/>
    </row>
    <row r="12" spans="1:21" ht="15" customHeight="1">
      <c r="B12" s="531"/>
      <c r="C12" s="533"/>
      <c r="D12" s="525"/>
      <c r="E12" s="525"/>
      <c r="F12" s="525"/>
      <c r="G12" s="537"/>
      <c r="H12" s="527" t="s">
        <v>46</v>
      </c>
      <c r="I12" s="527" t="s">
        <v>5</v>
      </c>
      <c r="J12" s="525" t="s">
        <v>47</v>
      </c>
      <c r="K12" s="52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1"/>
      <c r="C13" s="534"/>
      <c r="D13" s="525"/>
      <c r="E13" s="525"/>
      <c r="F13" s="525"/>
      <c r="G13" s="538"/>
      <c r="H13" s="528"/>
      <c r="I13" s="528"/>
      <c r="J13" s="525"/>
      <c r="K13" s="52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3" t="s">
        <v>1008</v>
      </c>
      <c r="D38" s="523"/>
      <c r="E38" s="523"/>
      <c r="F38" s="523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24" t="s">
        <v>462</v>
      </c>
      <c r="D39" s="524"/>
      <c r="E39" s="524"/>
      <c r="F39" s="524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13" t="s">
        <v>463</v>
      </c>
      <c r="D40" s="513"/>
      <c r="E40" s="513"/>
      <c r="F40" s="513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16" t="e">
        <f ca="1">"Terbilang : ( "&amp;L42&amp;" Rupiah )"</f>
        <v>#NAME?</v>
      </c>
      <c r="C41" s="517"/>
      <c r="D41" s="517"/>
      <c r="E41" s="517"/>
      <c r="F41" s="517"/>
      <c r="G41" s="517"/>
      <c r="H41" s="517"/>
      <c r="I41" s="517"/>
      <c r="J41" s="517"/>
      <c r="K41" s="518"/>
      <c r="L41" s="44"/>
      <c r="R41" s="58"/>
      <c r="S41" s="58"/>
      <c r="T41" s="58"/>
    </row>
    <row r="42" spans="1:20" s="36" customFormat="1">
      <c r="A42" s="30"/>
      <c r="B42" s="519"/>
      <c r="C42" s="520"/>
      <c r="D42" s="520"/>
      <c r="E42" s="520"/>
      <c r="F42" s="520"/>
      <c r="G42" s="520"/>
      <c r="H42" s="520"/>
      <c r="I42" s="520"/>
      <c r="J42" s="520"/>
      <c r="K42" s="521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4"/>
      <c r="I45" s="514"/>
      <c r="J45" s="515"/>
      <c r="K45" s="51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4"/>
      <c r="I46" s="514"/>
      <c r="J46" s="515"/>
      <c r="K46" s="51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4"/>
      <c r="I47" s="514"/>
      <c r="J47" s="515"/>
      <c r="K47" s="51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4"/>
      <c r="I52" s="514"/>
      <c r="J52" s="515"/>
      <c r="K52" s="51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SUMIFS(RAB!$F$14:$F$32,RAB!$C$14:$C$32,'REKAP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SUMIFS(RAB!$F$14:$F$32,RAB!$C$14:$C$32,'REKAP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SUMIFS(RAB!$F$14:$F$32,RAB!$C$14:$C$32,'REKAP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SUMIFS(RAB!$F$14:$F$32,RAB!$C$14:$C$32,'REKAP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SUMIFS(RAB!$F$14:$F$32,RAB!$C$14:$C$32,'REKAP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SUMIFS(RAB!$F$14:$F$32,RAB!$C$14:$C$32,'REKAP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SUMIFS(RAB!$F$14:$F$32,RAB!$C$14:$C$32,'REKAP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SUMIFS(RAB!$F$14:$F$32,RAB!$C$14:$C$32,'REKAP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SUMIFS(RAB!$F$14:$F$32,RAB!$C$14:$C$32,'REKAP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SUMIFS(RAB!$F$14:$F$32,RAB!$C$14:$C$32,'REKAP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SUMIFS(RAB!$F$14:$F$32,RAB!$C$14:$C$32,'REKAP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SUMIFS(RAB!$F$14:$F$32,RAB!$C$14:$C$32,'REKAP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SUMIFS(RAB!$F$14:$F$32,RAB!$C$14:$C$32,'REKAP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SUMIFS(RAB!$F$14:$F$32,RAB!$C$14:$C$32,'REKAP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SUMIFS(RAB!$F$14:$F$32,RAB!$C$14:$C$32,'REKAP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SUMIFS(RAB!$F$14:$F$32,RAB!$C$14:$C$32,'REKAP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SUMIFS(RAB!$F$14:$F$32,RAB!$C$14:$C$32,'REKAP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SUMIFS(RAB!$F$14:$F$32,RAB!$C$14:$C$32,'REKAP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SUMIFS(RAB!$F$14:$F$32,RAB!$C$14:$C$32,'REKAP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SUMIFS(RAB!$F$14:$F$32,RAB!$C$14:$C$32,'REKAP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9" t="s">
        <v>1034</v>
      </c>
      <c r="C4" s="529"/>
      <c r="D4" s="529"/>
      <c r="E4" s="529"/>
      <c r="F4" s="529"/>
      <c r="G4" s="529"/>
      <c r="H4" s="529"/>
      <c r="I4" s="529"/>
      <c r="J4" s="529"/>
      <c r="K4" s="52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2" t="str">
        <f>RAB!G6</f>
        <v>HJ KASMI</v>
      </c>
      <c r="H6" s="522"/>
      <c r="I6" s="522"/>
      <c r="J6" s="522"/>
      <c r="K6" s="52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MRANAK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0" t="s">
        <v>0</v>
      </c>
      <c r="C11" s="532" t="s">
        <v>1</v>
      </c>
      <c r="D11" s="535" t="s">
        <v>42</v>
      </c>
      <c r="E11" s="535" t="s">
        <v>43</v>
      </c>
      <c r="F11" s="535" t="s">
        <v>2</v>
      </c>
      <c r="G11" s="536" t="s">
        <v>41</v>
      </c>
      <c r="H11" s="535" t="s">
        <v>3</v>
      </c>
      <c r="I11" s="535"/>
      <c r="J11" s="535"/>
      <c r="K11" s="539"/>
      <c r="M11" s="33"/>
      <c r="N11" s="33"/>
      <c r="O11" s="33"/>
      <c r="P11" s="33"/>
      <c r="R11" s="34"/>
      <c r="S11" s="74"/>
      <c r="T11" s="74"/>
    </row>
    <row r="12" spans="1:21" ht="15" customHeight="1">
      <c r="B12" s="531"/>
      <c r="C12" s="533"/>
      <c r="D12" s="525"/>
      <c r="E12" s="525"/>
      <c r="F12" s="525"/>
      <c r="G12" s="537"/>
      <c r="H12" s="527" t="s">
        <v>46</v>
      </c>
      <c r="I12" s="527" t="s">
        <v>5</v>
      </c>
      <c r="J12" s="525" t="s">
        <v>47</v>
      </c>
      <c r="K12" s="52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1"/>
      <c r="C13" s="534"/>
      <c r="D13" s="525"/>
      <c r="E13" s="525"/>
      <c r="F13" s="525"/>
      <c r="G13" s="538"/>
      <c r="H13" s="528"/>
      <c r="I13" s="528"/>
      <c r="J13" s="525"/>
      <c r="K13" s="52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Kabel NYY 1 x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44</v>
      </c>
      <c r="G18" s="41">
        <f ca="1">IF(ISERROR(OFFSET('HARGA SATUAN'!$I$6,MATCH(C18,'HARGA SATUAN'!$C$7:$C$1492,0),0)),"",OFFSET('HARGA SATUAN'!$I$6,MATCH(C18,'HARGA SATUAN'!$C$7:$C$1492,0),0))</f>
        <v>94700</v>
      </c>
      <c r="H18" s="42">
        <f t="shared" ca="1" si="1"/>
        <v>4166800</v>
      </c>
      <c r="I18" s="42">
        <f t="shared" ca="1" si="2"/>
        <v>0</v>
      </c>
      <c r="J18" s="42">
        <f t="shared" ca="1" si="3"/>
        <v>0</v>
      </c>
      <c r="K18" s="43">
        <f t="shared" ca="1" si="0"/>
        <v>4166800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3" t="s">
        <v>1008</v>
      </c>
      <c r="D168" s="523"/>
      <c r="E168" s="523"/>
      <c r="F168" s="523"/>
      <c r="G168" s="77" t="s">
        <v>9</v>
      </c>
      <c r="H168" s="55">
        <f ca="1">SUM(H14:H167)</f>
        <v>19888900</v>
      </c>
      <c r="I168" s="55">
        <f ca="1">SUM(I14:I167)</f>
        <v>0</v>
      </c>
      <c r="J168" s="55">
        <f ca="1">SUM(J14:J167)</f>
        <v>0</v>
      </c>
      <c r="K168" s="55">
        <f ca="1">SUM(K14:K167)</f>
        <v>19888900</v>
      </c>
      <c r="L168" s="44"/>
      <c r="R168" s="99"/>
      <c r="S168" s="99"/>
      <c r="T168" s="99"/>
    </row>
    <row r="169" spans="1:20" s="36" customFormat="1">
      <c r="A169" s="30"/>
      <c r="B169" s="56"/>
      <c r="C169" s="524" t="s">
        <v>462</v>
      </c>
      <c r="D169" s="524"/>
      <c r="E169" s="524"/>
      <c r="F169" s="524"/>
      <c r="G169" s="59" t="s">
        <v>9</v>
      </c>
      <c r="H169" s="60">
        <f ca="1">H168*0.1</f>
        <v>1988890</v>
      </c>
      <c r="I169" s="60">
        <f ca="1">I168*0.1</f>
        <v>0</v>
      </c>
      <c r="J169" s="60">
        <f ca="1">J168*0.1</f>
        <v>0</v>
      </c>
      <c r="K169" s="60">
        <f ca="1">K168*0.1</f>
        <v>1988890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13" t="s">
        <v>463</v>
      </c>
      <c r="D170" s="513"/>
      <c r="E170" s="513"/>
      <c r="F170" s="513"/>
      <c r="G170" s="61" t="s">
        <v>9</v>
      </c>
      <c r="H170" s="78">
        <f ca="1">SUM(H168:H169)</f>
        <v>21877790</v>
      </c>
      <c r="I170" s="78">
        <f ca="1">SUM(I168:I169)</f>
        <v>0</v>
      </c>
      <c r="J170" s="61">
        <f ca="1">SUM(J168:J169)</f>
        <v>0</v>
      </c>
      <c r="K170" s="61">
        <f ca="1">SUM(K168:K169)</f>
        <v>21877790</v>
      </c>
      <c r="L170" s="44"/>
      <c r="R170" s="99"/>
      <c r="S170" s="99"/>
      <c r="T170" s="99"/>
    </row>
    <row r="171" spans="1:20" s="36" customFormat="1">
      <c r="A171" s="30"/>
      <c r="B171" s="516" t="e">
        <f ca="1">"Terbilang : ( "&amp;L172&amp;" Rupiah )"</f>
        <v>#NAME?</v>
      </c>
      <c r="C171" s="517"/>
      <c r="D171" s="517"/>
      <c r="E171" s="517"/>
      <c r="F171" s="517"/>
      <c r="G171" s="517"/>
      <c r="H171" s="517"/>
      <c r="I171" s="517"/>
      <c r="J171" s="517"/>
      <c r="K171" s="518"/>
      <c r="L171" s="44"/>
      <c r="R171" s="58"/>
      <c r="S171" s="58"/>
      <c r="T171" s="58"/>
    </row>
    <row r="172" spans="1:20" s="36" customFormat="1">
      <c r="A172" s="30"/>
      <c r="B172" s="519"/>
      <c r="C172" s="520"/>
      <c r="D172" s="520"/>
      <c r="E172" s="520"/>
      <c r="F172" s="520"/>
      <c r="G172" s="520"/>
      <c r="H172" s="520"/>
      <c r="I172" s="520"/>
      <c r="J172" s="520"/>
      <c r="K172" s="521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4"/>
      <c r="I175" s="514"/>
      <c r="J175" s="515"/>
      <c r="K175" s="51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4"/>
      <c r="I176" s="514"/>
      <c r="J176" s="515"/>
      <c r="K176" s="51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4"/>
      <c r="I177" s="514"/>
      <c r="J177" s="515"/>
      <c r="K177" s="51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4"/>
      <c r="I182" s="514"/>
      <c r="J182" s="515"/>
      <c r="K182" s="51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SUMIFS(RAB!$F$14:$F$32,RAB!$C$14:$C$32,C224)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SUMIFS(RAB!$F$14:$F$32,RAB!$C$14:$C$32,C225)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SUMIFS(RAB!$F$14:$F$32,RAB!$C$14:$C$32,C226)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SUMIFS(RAB!$F$14:$F$32,RAB!$C$14:$C$32,C227)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SUMIFS(RAB!$F$14:$F$32,RAB!$C$14:$C$32,C228)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SUMIFS(RAB!$F$14:$F$32,RAB!$C$14:$C$32,C229)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SUMIFS(RAB!$F$14:$F$32,RAB!$C$14:$C$32,C230)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SUMIFS(RAB!$F$14:$F$32,RAB!$C$14:$C$32,C231)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SUMIFS(RAB!$F$14:$F$32,RAB!$C$14:$C$32,C232)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SUMIFS(RAB!$F$14:$F$32,RAB!$C$14:$C$32,C233)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SUMIFS(RAB!$F$14:$F$32,RAB!$C$14:$C$32,C234)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SUMIFS(RAB!$F$14:$F$32,RAB!$C$14:$C$32,C235)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SUMIFS(RAB!$F$14:$F$32,RAB!$C$14:$C$32,C236)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SUMIFS(RAB!$F$14:$F$32,RAB!$C$14:$C$32,C237)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SUMIFS(RAB!$F$14:$F$32,RAB!$C$14:$C$32,C238)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SUMIFS(RAB!$F$14:$F$32,RAB!$C$14:$C$32,C239)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SUMIFS(RAB!$F$14:$F$32,RAB!$C$14:$C$32,C240)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SUMIFS(RAB!$F$14:$F$32,RAB!$C$14:$C$32,C241)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SUMIFS(RAB!$F$14:$F$32,RAB!$C$14:$C$32,C242)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SUMIFS(RAB!$F$14:$F$32,RAB!$C$14:$C$32,C243)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SUMIFS(RAB!$F$14:$F$32,RAB!$C$14:$C$32,C244)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SUMIFS(RAB!$F$14:$F$32,RAB!$C$14:$C$32,C245)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SUMIFS(RAB!$F$14:$F$32,RAB!$C$14:$C$32,C246)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SUMIFS(RAB!$F$14:$F$32,RAB!$C$14:$C$32,C247)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SUMIFS(RAB!$F$14:$F$32,RAB!$C$14:$C$32,C248)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SUMIFS(RAB!$F$14:$F$32,RAB!$C$14:$C$32,C249)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SUMIFS(RAB!$F$14:$F$32,RAB!$C$14:$C$32,C250)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SUMIFS(RAB!$F$14:$F$32,RAB!$C$14:$C$32,C251)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SUMIFS(RAB!$F$14:$F$32,RAB!$C$14:$C$32,C252)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SUMIFS(RAB!$F$14:$F$32,RAB!$C$14:$C$32,C253)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SUMIFS(RAB!$F$14:$F$32,RAB!$C$14:$C$32,C254)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SUMIFS(RAB!$F$14:$F$32,RAB!$C$14:$C$32,C255)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SUMIFS(RAB!$F$14:$F$32,RAB!$C$14:$C$32,C256)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SUMIFS(RAB!$F$14:$F$32,RAB!$C$14:$C$32,C257)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SUMIFS(RAB!$F$14:$F$32,RAB!$C$14:$C$32,C258)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SUMIFS(RAB!$F$14:$F$32,RAB!$C$14:$C$32,C259)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SUMIFS(RAB!$F$14:$F$32,RAB!$C$14:$C$32,C260)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SUMIFS(RAB!$F$14:$F$32,RAB!$C$14:$C$32,C261)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SUMIFS(RAB!$F$14:$F$32,RAB!$C$14:$C$32,C262)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SUMIFS(RAB!$F$14:$F$32,RAB!$C$14:$C$32,C263)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SUMIFS(RAB!$F$14:$F$32,RAB!$C$14:$C$32,C264)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SUMIFS(RAB!$F$14:$F$32,RAB!$C$14:$C$32,C265)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SUMIFS(RAB!$F$14:$F$32,RAB!$C$14:$C$32,C266)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SUMIFS(RAB!$F$14:$F$32,RAB!$C$14:$C$32,C267)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SUMIFS(RAB!$F$14:$F$32,RAB!$C$14:$C$32,C268)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SUMIFS(RAB!$F$14:$F$32,RAB!$C$14:$C$32,C269)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SUMIFS(RAB!$F$14:$F$32,RAB!$C$14:$C$32,C270)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SUMIFS(RAB!$F$14:$F$32,RAB!$C$14:$C$32,C271)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SUMIFS(RAB!$F$14:$F$32,RAB!$C$14:$C$32,C272)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SUMIFS(RAB!$F$14:$F$32,RAB!$C$14:$C$32,C273)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SUMIFS(RAB!$F$14:$F$32,RAB!$C$14:$C$32,C274)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SUMIFS(RAB!$F$14:$F$32,RAB!$C$14:$C$32,C275)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SUMIFS(RAB!$F$14:$F$32,RAB!$C$14:$C$32,C276)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SUMIFS(RAB!$F$14:$F$32,RAB!$C$14:$C$32,C277)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SUMIFS(RAB!$F$14:$F$32,RAB!$C$14:$C$32,C278)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SUMIFS(RAB!$F$14:$F$32,RAB!$C$14:$C$32,C279)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SUMIFS(RAB!$F$14:$F$32,RAB!$C$14:$C$32,C280)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SUMIFS(RAB!$F$14:$F$32,RAB!$C$14:$C$32,C281)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SUMIFS(RAB!$F$14:$F$32,RAB!$C$14:$C$32,C282)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SUMIFS(RAB!$F$14:$F$32,RAB!$C$14:$C$32,C283)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SUMIFS(RAB!$F$14:$F$32,RAB!$C$14:$C$32,C284)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SUMIFS(RAB!$F$14:$F$32,RAB!$C$14:$C$32,C285)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SUMIFS(RAB!$F$14:$F$32,RAB!$C$14:$C$32,C286)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SUMIFS(RAB!$F$14:$F$32,RAB!$C$14:$C$32,C287)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SUMIFS(RAB!$F$14:$F$32,RAB!$C$14:$C$32,C288)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SUMIFS(RAB!$F$14:$F$32,RAB!$C$14:$C$32,C289)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SUMIFS(RAB!$F$14:$F$32,RAB!$C$14:$C$32,C290)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SUMIFS(RAB!$F$14:$F$32,RAB!$C$14:$C$32,C291)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SUMIFS(RAB!$F$14:$F$32,RAB!$C$14:$C$32,C292)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SUMIFS(RAB!$F$14:$F$32,RAB!$C$14:$C$32,C293)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SUMIFS(RAB!$F$14:$F$32,RAB!$C$14:$C$32,C294)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SUMIFS(RAB!$F$14:$F$32,RAB!$C$14:$C$32,C295)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SUMIFS(RAB!$F$14:$F$32,RAB!$C$14:$C$32,C296)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SUMIFS(RAB!$F$14:$F$32,RAB!$C$14:$C$32,C297)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SUMIFS(RAB!$F$14:$F$32,RAB!$C$14:$C$32,C298)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SUMIFS(RAB!$F$14:$F$32,RAB!$C$14:$C$32,C299)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SUMIFS(RAB!$F$14:$F$32,RAB!$C$14:$C$32,C300)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SUMIFS(RAB!$F$14:$F$32,RAB!$C$14:$C$32,C301)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SUMIFS(RAB!$F$14:$F$32,RAB!$C$14:$C$32,C302)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SUMIFS(RAB!$F$14:$F$32,RAB!$C$14:$C$32,C303)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SUMIFS(RAB!$F$14:$F$32,RAB!$C$14:$C$32,C304)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SUMIFS(RAB!$F$14:$F$32,RAB!$C$14:$C$32,C305)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SUMIFS(RAB!$F$14:$F$32,RAB!$C$14:$C$32,C306)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SUMIFS(RAB!$F$14:$F$32,RAB!$C$14:$C$32,C307)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SUMIFS(RAB!$F$14:$F$32,RAB!$C$14:$C$32,C308)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SUMIFS(RAB!$F$14:$F$32,RAB!$C$14:$C$32,C309)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SUMIFS(RAB!$F$14:$F$32,RAB!$C$14:$C$32,C310)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SUMIFS(RAB!$F$14:$F$32,RAB!$C$14:$C$32,C311)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SUMIFS(RAB!$F$14:$F$32,RAB!$C$14:$C$32,C312)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SUMIFS(RAB!$F$14:$F$32,RAB!$C$14:$C$32,C313)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SUMIFS(RAB!$F$14:$F$32,RAB!$C$14:$C$32,C314)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SUMIFS(RAB!$F$14:$F$32,RAB!$C$14:$C$32,C315)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SUMIFS(RAB!$F$14:$F$32,RAB!$C$14:$C$32,C316)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SUMIFS(RAB!$F$14:$F$32,RAB!$C$14:$C$32,C317)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SUMIFS(RAB!$F$14:$F$32,RAB!$C$14:$C$32,C318)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SUMIFS(RAB!$F$14:$F$32,RAB!$C$14:$C$32,C319)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SUMIFS(RAB!$F$14:$F$32,RAB!$C$14:$C$32,C320)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SUMIFS(RAB!$F$14:$F$32,RAB!$C$14:$C$32,C321)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SUMIFS(RAB!$F$14:$F$32,RAB!$C$14:$C$32,C322)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SUMIFS(RAB!$F$14:$F$32,RAB!$C$14:$C$32,C323)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SUMIFS(RAB!$F$14:$F$32,RAB!$C$14:$C$32,C324)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SUMIFS(RAB!$F$14:$F$32,RAB!$C$14:$C$32,C325)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SUMIFS(RAB!$F$14:$F$32,RAB!$C$14:$C$32,C326)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SUMIFS(RAB!$F$14:$F$32,RAB!$C$14:$C$32,C327)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SUMIFS(RAB!$F$14:$F$32,RAB!$C$14:$C$32,C328)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SUMIFS(RAB!$F$14:$F$32,RAB!$C$14:$C$32,C329)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SUMIFS(RAB!$F$14:$F$32,RAB!$C$14:$C$32,C330)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SUMIFS(RAB!$F$14:$F$32,RAB!$C$14:$C$32,C331)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SUMIFS(RAB!$F$14:$F$32,RAB!$C$14:$C$32,C332)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SUMIFS(RAB!$F$14:$F$32,RAB!$C$14:$C$32,C333)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SUMIFS(RAB!$F$14:$F$32,RAB!$C$14:$C$32,C334)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SUMIFS(RAB!$F$14:$F$32,RAB!$C$14:$C$32,C335)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SUMIFS(RAB!$F$14:$F$32,RAB!$C$14:$C$32,C336)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SUMIFS(RAB!$F$14:$F$32,RAB!$C$14:$C$32,C337)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SUMIFS(RAB!$F$14:$F$32,RAB!$C$14:$C$32,C338)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SUMIFS(RAB!$F$14:$F$32,RAB!$C$14:$C$32,C339)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SUMIFS(RAB!$F$14:$F$32,RAB!$C$14:$C$32,C340)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SUMIFS(RAB!$F$14:$F$32,RAB!$C$14:$C$32,C341)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SUMIFS(RAB!$F$14:$F$32,RAB!$C$14:$C$32,C342)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SUMIFS(RAB!$F$14:$F$32,RAB!$C$14:$C$32,C343)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SUMIFS(RAB!$F$14:$F$32,RAB!$C$14:$C$32,C344)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SUMIFS(RAB!$F$14:$F$32,RAB!$C$14:$C$32,C345)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SUMIFS(RAB!$F$14:$F$32,RAB!$C$14:$C$32,C346)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SUMIFS(RAB!$F$14:$F$32,RAB!$C$14:$C$32,C347)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SUMIFS(RAB!$F$14:$F$32,RAB!$C$14:$C$32,C348)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SUMIFS(RAB!$F$14:$F$32,RAB!$C$14:$C$32,C349)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SUMIFS(RAB!$F$14:$F$32,RAB!$C$14:$C$32,C350)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SUMIFS(RAB!$F$14:$F$32,RAB!$C$14:$C$32,C351)</f>
        <v>44</v>
      </c>
      <c r="E351" s="24">
        <f t="shared" ca="1" si="22"/>
        <v>1</v>
      </c>
      <c r="F351" s="24">
        <f ca="1">IF(D351=0,0,SUM($E$223:E351))</f>
        <v>3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SUMIFS(RAB!$F$14:$F$32,RAB!$C$14:$C$32,C352)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SUMIFS(RAB!$F$14:$F$32,RAB!$C$14:$C$32,C353)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SUMIFS(RAB!$F$14:$F$32,RAB!$C$14:$C$32,C354)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SUMIFS(RAB!$F$14:$F$32,RAB!$C$14:$C$32,C355)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SUMIFS(RAB!$F$14:$F$32,RAB!$C$14:$C$32,C356)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SUMIFS(RAB!$F$14:$F$32,RAB!$C$14:$C$32,C357)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SUMIFS(RAB!$F$14:$F$32,RAB!$C$14:$C$32,C358)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SUMIFS(RAB!$F$14:$F$32,RAB!$C$14:$C$32,C359)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SUMIFS(RAB!$F$14:$F$32,RAB!$C$14:$C$32,C360)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SUMIFS(RAB!$F$14:$F$32,RAB!$C$14:$C$32,C361)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SUMIFS(RAB!$F$14:$F$32,RAB!$C$14:$C$32,C362)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SUMIFS(RAB!$F$14:$F$32,RAB!$C$14:$C$32,C363)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SUMIFS(RAB!$F$14:$F$32,RAB!$C$14:$C$32,C364)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SUMIFS(RAB!$F$14:$F$32,RAB!$C$14:$C$32,C365)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SUMIFS(RAB!$F$14:$F$32,RAB!$C$14:$C$32,C366)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SUMIFS(RAB!$F$14:$F$32,RAB!$C$14:$C$32,C367)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SUMIFS(RAB!$F$14:$F$32,RAB!$C$14:$C$32,C368)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SUMIFS(RAB!$F$14:$F$32,RAB!$C$14:$C$32,C369)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SUMIFS(RAB!$F$14:$F$32,RAB!$C$14:$C$32,C370)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SUMIFS(RAB!$F$14:$F$32,RAB!$C$14:$C$32,C371)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SUMIFS(RAB!$F$14:$F$32,RAB!$C$14:$C$32,C372)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SUMIFS(RAB!$F$14:$F$32,RAB!$C$14:$C$32,C373)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5" priority="5" operator="equal">
      <formula>0</formula>
    </cfRule>
  </conditionalFormatting>
  <conditionalFormatting sqref="C16:C165">
    <cfRule type="cellIs" dxfId="34" priority="4" stopIfTrue="1" operator="equal">
      <formula>0</formula>
    </cfRule>
  </conditionalFormatting>
  <conditionalFormatting sqref="C16:E165">
    <cfRule type="cellIs" dxfId="33" priority="1" operator="equal">
      <formula>0</formula>
    </cfRule>
  </conditionalFormatting>
  <conditionalFormatting sqref="D224:F373">
    <cfRule type="cellIs" dxfId="32" priority="8" operator="equal">
      <formula>0</formula>
    </cfRule>
  </conditionalFormatting>
  <conditionalFormatting sqref="E1:E3 G1:G115 E6:E15 H12:I12 N13 F14:F15 H14:K115 E166:K166 G166:G223 E167:F167 H167:K167">
    <cfRule type="cellIs" dxfId="31" priority="43" stopIfTrue="1" operator="equal">
      <formula>0</formula>
    </cfRule>
  </conditionalFormatting>
  <conditionalFormatting sqref="E171:E65536">
    <cfRule type="cellIs" dxfId="30" priority="9" stopIfTrue="1" operator="equal">
      <formula>0</formula>
    </cfRule>
  </conditionalFormatting>
  <conditionalFormatting sqref="G224">
    <cfRule type="cellIs" dxfId="29" priority="10" operator="equal">
      <formula>0</formula>
    </cfRule>
  </conditionalFormatting>
  <conditionalFormatting sqref="G225:G65536">
    <cfRule type="cellIs" dxfId="28" priority="14" stopIfTrue="1" operator="equal">
      <formula>0</formula>
    </cfRule>
  </conditionalFormatting>
  <conditionalFormatting sqref="R14:T166 G116:K165">
    <cfRule type="cellIs" dxfId="2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43" activePane="bottomRight" state="frozen"/>
      <selection activeCell="D209" sqref="D209"/>
      <selection pane="topRight" activeCell="D209" sqref="D209"/>
      <selection pane="bottomLeft" activeCell="D209" sqref="D209"/>
      <selection pane="bottomRight" activeCell="C243" sqref="C24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1" t="s">
        <v>41</v>
      </c>
      <c r="C2" s="54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2" t="s">
        <v>23</v>
      </c>
      <c r="C4" s="543" t="s">
        <v>1012</v>
      </c>
      <c r="D4" s="543" t="s">
        <v>42</v>
      </c>
      <c r="E4" s="542" t="s">
        <v>43</v>
      </c>
      <c r="F4" s="108" t="s">
        <v>1604</v>
      </c>
      <c r="G4" s="108" t="s">
        <v>1603</v>
      </c>
      <c r="H4" s="540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2"/>
      <c r="C5" s="543"/>
      <c r="D5" s="543"/>
      <c r="E5" s="542"/>
      <c r="F5" s="93"/>
      <c r="G5" s="93"/>
      <c r="H5" s="540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6" priority="138" operator="equal">
      <formula>0</formula>
    </cfRule>
  </conditionalFormatting>
  <conditionalFormatting sqref="B8:C135">
    <cfRule type="cellIs" dxfId="25" priority="51" operator="equal">
      <formula>0</formula>
    </cfRule>
  </conditionalFormatting>
  <conditionalFormatting sqref="B150:G1493">
    <cfRule type="cellIs" dxfId="24" priority="1" operator="equal">
      <formula>0</formula>
    </cfRule>
  </conditionalFormatting>
  <conditionalFormatting sqref="C143:G149">
    <cfRule type="cellIs" dxfId="23" priority="5" operator="equal">
      <formula>0</formula>
    </cfRule>
  </conditionalFormatting>
  <conditionalFormatting sqref="D9:G142">
    <cfRule type="cellIs" dxfId="22" priority="11" operator="equal">
      <formula>0</formula>
    </cfRule>
  </conditionalFormatting>
  <conditionalFormatting sqref="D1:IV5 A1:C7 D6:K6 H1455:IV1457 H1458:XFD1485 H1486:H1493 I1486:XFD1494 A1494:H1494 A1495:XFD65536">
    <cfRule type="cellIs" dxfId="21" priority="163" operator="equal">
      <formula>0</formula>
    </cfRule>
  </conditionalFormatting>
  <conditionalFormatting sqref="D7:IV8 C136:C142 B136:B149">
    <cfRule type="cellIs" dxfId="20" priority="62" operator="equal">
      <formula>0</formula>
    </cfRule>
  </conditionalFormatting>
  <conditionalFormatting sqref="H9:H1418">
    <cfRule type="cellIs" dxfId="19" priority="129" operator="equal">
      <formula>0</formula>
    </cfRule>
  </conditionalFormatting>
  <conditionalFormatting sqref="H1419:I1454">
    <cfRule type="cellIs" dxfId="18" priority="128" operator="equal">
      <formula>0</formula>
    </cfRule>
  </conditionalFormatting>
  <conditionalFormatting sqref="I108:I1418">
    <cfRule type="cellIs" dxfId="17" priority="125" operator="equal">
      <formula>0</formula>
    </cfRule>
  </conditionalFormatting>
  <conditionalFormatting sqref="J108:IV1454">
    <cfRule type="cellIs" dxfId="16" priority="139" operator="equal">
      <formula>0</formula>
    </cfRule>
  </conditionalFormatting>
  <conditionalFormatting sqref="M6:IV6">
    <cfRule type="cellIs" dxfId="1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8" sqref="N18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48" t="s">
        <v>1454</v>
      </c>
      <c r="C2" s="548"/>
      <c r="D2" s="548"/>
      <c r="E2" s="548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53" t="s">
        <v>1532</v>
      </c>
      <c r="C4" s="554"/>
      <c r="D4" s="554"/>
      <c r="E4" s="555"/>
      <c r="F4" s="440"/>
      <c r="G4" s="440"/>
      <c r="H4" s="441"/>
      <c r="I4" s="580" t="s">
        <v>1533</v>
      </c>
      <c r="J4" s="581"/>
      <c r="K4" s="581"/>
      <c r="L4" s="582"/>
    </row>
    <row r="5" spans="1:12" ht="34.5" customHeight="1">
      <c r="A5" s="204"/>
      <c r="B5" s="443" t="s">
        <v>1379</v>
      </c>
      <c r="C5" s="277" t="s">
        <v>9</v>
      </c>
      <c r="D5" s="549" t="str">
        <f>DATA!D14</f>
        <v>HJ KASMI</v>
      </c>
      <c r="E5" s="550"/>
      <c r="F5" s="208"/>
      <c r="G5" s="208"/>
      <c r="I5" s="444" t="s">
        <v>1379</v>
      </c>
      <c r="J5" s="277" t="s">
        <v>9</v>
      </c>
      <c r="K5" s="583" t="str">
        <f>D5</f>
        <v>HJ KASMI</v>
      </c>
      <c r="L5" s="584"/>
    </row>
    <row r="6" spans="1:12" ht="31.5" customHeight="1">
      <c r="A6" s="204"/>
      <c r="B6" s="443" t="s">
        <v>1529</v>
      </c>
      <c r="C6" s="277" t="s">
        <v>9</v>
      </c>
      <c r="D6" s="558">
        <f>DATA!D17*1000</f>
        <v>164000</v>
      </c>
      <c r="E6" s="559"/>
      <c r="F6" s="208"/>
      <c r="G6" s="208"/>
      <c r="I6" s="444" t="s">
        <v>1530</v>
      </c>
      <c r="J6" s="277" t="s">
        <v>9</v>
      </c>
      <c r="K6" s="585">
        <f>DATA!D20*1000</f>
        <v>105000</v>
      </c>
      <c r="L6" s="586"/>
    </row>
    <row r="7" spans="1:12" ht="30.75" customHeight="1">
      <c r="A7" s="204"/>
      <c r="B7" s="443" t="s">
        <v>1441</v>
      </c>
      <c r="C7" s="277" t="s">
        <v>9</v>
      </c>
      <c r="D7" s="556">
        <f>DATA!D18</f>
        <v>3</v>
      </c>
      <c r="E7" s="557"/>
      <c r="F7" s="442" t="s">
        <v>1453</v>
      </c>
      <c r="I7" s="444" t="s">
        <v>1441</v>
      </c>
      <c r="J7" s="277" t="s">
        <v>9</v>
      </c>
      <c r="K7" s="587">
        <f>DATA!D21</f>
        <v>3</v>
      </c>
      <c r="L7" s="588"/>
    </row>
    <row r="8" spans="1:12" ht="51" customHeight="1">
      <c r="A8" s="204"/>
      <c r="B8" s="443" t="s">
        <v>1442</v>
      </c>
      <c r="C8" s="277" t="s">
        <v>9</v>
      </c>
      <c r="D8" s="556">
        <f>DATA!D19</f>
        <v>380</v>
      </c>
      <c r="E8" s="557"/>
      <c r="F8" s="442" t="s">
        <v>1453</v>
      </c>
      <c r="G8" s="437">
        <v>220</v>
      </c>
      <c r="I8" s="444" t="s">
        <v>1442</v>
      </c>
      <c r="J8" s="277" t="s">
        <v>9</v>
      </c>
      <c r="K8" s="587">
        <f>DATA!D22</f>
        <v>380</v>
      </c>
      <c r="L8" s="588"/>
    </row>
    <row r="9" spans="1:12" ht="30" customHeight="1" thickBot="1">
      <c r="A9" s="204"/>
      <c r="B9" s="449" t="s">
        <v>1541</v>
      </c>
      <c r="C9" s="439" t="s">
        <v>9</v>
      </c>
      <c r="D9" s="551">
        <f>IF(D7=1,D6/(380/3^0.5),(D6/(380*3^0.5)))</f>
        <v>249.17222143973325</v>
      </c>
      <c r="E9" s="552"/>
      <c r="F9" s="207"/>
      <c r="G9" s="438">
        <v>380</v>
      </c>
      <c r="I9" s="450" t="s">
        <v>1541</v>
      </c>
      <c r="J9" s="439" t="s">
        <v>9</v>
      </c>
      <c r="K9" s="589">
        <f>IF(K7=1,K6/(380/3^0.5),(K6/(380*3^0.5)))</f>
        <v>159.53099543397556</v>
      </c>
      <c r="L9" s="590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560"/>
      <c r="E12" s="561"/>
      <c r="F12" s="208"/>
      <c r="G12" s="208"/>
      <c r="I12" s="466" t="s">
        <v>1534</v>
      </c>
      <c r="J12" s="467" t="s">
        <v>9</v>
      </c>
      <c r="K12" s="560"/>
      <c r="L12" s="561"/>
    </row>
    <row r="13" spans="1:12" ht="31.5" customHeight="1">
      <c r="A13" s="204"/>
      <c r="B13" s="474" t="s">
        <v>1380</v>
      </c>
      <c r="C13" s="454" t="s">
        <v>9</v>
      </c>
      <c r="D13" s="564"/>
      <c r="E13" s="565"/>
      <c r="F13" s="208"/>
      <c r="G13" s="208"/>
      <c r="I13" s="468" t="s">
        <v>1380</v>
      </c>
      <c r="J13" s="454" t="s">
        <v>9</v>
      </c>
      <c r="K13" s="564"/>
      <c r="L13" s="565"/>
    </row>
    <row r="14" spans="1:12" ht="30.75" customHeight="1">
      <c r="A14" s="204"/>
      <c r="B14" s="474" t="s">
        <v>1535</v>
      </c>
      <c r="C14" s="454" t="s">
        <v>9</v>
      </c>
      <c r="D14" s="572">
        <v>100</v>
      </c>
      <c r="E14" s="573"/>
      <c r="F14" s="442" t="s">
        <v>1453</v>
      </c>
      <c r="G14" s="446">
        <v>50</v>
      </c>
      <c r="I14" s="468" t="s">
        <v>1535</v>
      </c>
      <c r="J14" s="454" t="s">
        <v>9</v>
      </c>
      <c r="K14" s="574">
        <v>100</v>
      </c>
      <c r="L14" s="575"/>
    </row>
    <row r="15" spans="1:12" ht="57" customHeight="1">
      <c r="A15" s="204"/>
      <c r="B15" s="474" t="s">
        <v>1441</v>
      </c>
      <c r="C15" s="454" t="s">
        <v>9</v>
      </c>
      <c r="D15" s="460">
        <v>3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3</v>
      </c>
      <c r="L15" s="469"/>
    </row>
    <row r="16" spans="1:12" ht="44.25" customHeight="1">
      <c r="A16" s="204"/>
      <c r="B16" s="474" t="s">
        <v>1545</v>
      </c>
      <c r="C16" s="454"/>
      <c r="D16" s="576"/>
      <c r="E16" s="577"/>
      <c r="F16" s="442"/>
      <c r="G16" s="446">
        <v>160</v>
      </c>
      <c r="I16" s="468" t="s">
        <v>1537</v>
      </c>
      <c r="J16" s="454" t="s">
        <v>9</v>
      </c>
      <c r="K16" s="578">
        <f>K9</f>
        <v>159.53099543397556</v>
      </c>
      <c r="L16" s="579"/>
    </row>
    <row r="17" spans="1:12" ht="34.5" customHeight="1">
      <c r="A17" s="204"/>
      <c r="B17" s="474" t="s">
        <v>1538</v>
      </c>
      <c r="C17" s="454" t="s">
        <v>9</v>
      </c>
      <c r="D17" s="566">
        <f>IF(D15=1,D14/(20/3^0.5),(D14/(20*3^0.5)))</f>
        <v>2.8867513459481291</v>
      </c>
      <c r="E17" s="567"/>
      <c r="F17" s="442" t="s">
        <v>1453</v>
      </c>
      <c r="G17" s="447">
        <v>200</v>
      </c>
      <c r="I17" s="468" t="s">
        <v>1538</v>
      </c>
      <c r="J17" s="454" t="s">
        <v>9</v>
      </c>
      <c r="K17" s="570">
        <f>IF(K15=1,K14/(20/3^0.5),(K14/(20*3^0.5)))</f>
        <v>2.8867513459481291</v>
      </c>
      <c r="L17" s="571"/>
    </row>
    <row r="18" spans="1:12" ht="34.5" customHeight="1">
      <c r="A18" s="204"/>
      <c r="B18" s="474" t="s">
        <v>1539</v>
      </c>
      <c r="C18" s="454" t="s">
        <v>9</v>
      </c>
      <c r="D18" s="566">
        <f>IF(D15=1,D14/(380/3^0.5),(D14/(380*3^0.5)))*1000</f>
        <v>151.93428136569102</v>
      </c>
      <c r="E18" s="567"/>
      <c r="F18" s="442" t="s">
        <v>1453</v>
      </c>
      <c r="G18" s="447">
        <v>250</v>
      </c>
      <c r="I18" s="468" t="s">
        <v>1539</v>
      </c>
      <c r="J18" s="454" t="s">
        <v>9</v>
      </c>
      <c r="K18" s="570">
        <f>IF(K15=1,K14/(380/3^0.5),(K14/(380*3^0.5)))*1000</f>
        <v>151.93428136569102</v>
      </c>
      <c r="L18" s="571"/>
    </row>
    <row r="19" spans="1:12" ht="30" customHeight="1">
      <c r="A19" s="204"/>
      <c r="B19" s="475" t="s">
        <v>1531</v>
      </c>
      <c r="C19" s="453" t="s">
        <v>9</v>
      </c>
      <c r="D19" s="566">
        <f>IF(D15=1,D14/(380/3^0.5),(D14/(380*3^0.5)))</f>
        <v>0.15193428136569101</v>
      </c>
      <c r="E19" s="567"/>
      <c r="F19" s="207"/>
      <c r="G19" s="438"/>
      <c r="I19" s="470" t="s">
        <v>1531</v>
      </c>
      <c r="J19" s="453" t="s">
        <v>9</v>
      </c>
      <c r="K19" s="570">
        <f>IF(K15=1,K14/(380/3^0.5),(K14/(380*3^0.5)))</f>
        <v>0.15193428136569101</v>
      </c>
      <c r="L19" s="571"/>
    </row>
    <row r="20" spans="1:12" ht="30" customHeight="1" thickBot="1">
      <c r="A20" s="204"/>
      <c r="B20" s="476" t="s">
        <v>1540</v>
      </c>
      <c r="C20" s="472" t="s">
        <v>9</v>
      </c>
      <c r="D20" s="562">
        <f>D16/D18</f>
        <v>0</v>
      </c>
      <c r="E20" s="563"/>
      <c r="F20" s="207"/>
      <c r="G20" s="438"/>
      <c r="I20" s="471" t="s">
        <v>1531</v>
      </c>
      <c r="J20" s="472" t="s">
        <v>9</v>
      </c>
      <c r="K20" s="568">
        <f>K16/K18</f>
        <v>1.05</v>
      </c>
      <c r="L20" s="569"/>
    </row>
    <row r="21" spans="1:12" ht="9.75" customHeight="1">
      <c r="A21" s="204"/>
      <c r="B21" s="461" t="s">
        <v>1540</v>
      </c>
      <c r="C21" s="462" t="s">
        <v>9</v>
      </c>
      <c r="D21" s="547">
        <v>1</v>
      </c>
      <c r="E21" s="547"/>
      <c r="F21" s="463"/>
      <c r="G21" s="464"/>
      <c r="H21" s="465"/>
      <c r="I21" s="461" t="s">
        <v>1531</v>
      </c>
      <c r="J21" s="462" t="s">
        <v>9</v>
      </c>
      <c r="K21" s="547">
        <v>1</v>
      </c>
      <c r="L21" s="547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44"/>
      <c r="C24" s="545"/>
      <c r="D24" s="545"/>
      <c r="E24" s="546"/>
      <c r="I24" s="544"/>
      <c r="J24" s="545"/>
      <c r="K24" s="545"/>
      <c r="L24" s="546"/>
    </row>
    <row r="26" spans="1:12">
      <c r="D26" s="456"/>
    </row>
    <row r="27" spans="1:12">
      <c r="D27" s="457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4" priority="5" stopIfTrue="1" operator="greaterThan">
      <formula>0.89</formula>
    </cfRule>
    <cfRule type="cellIs" dxfId="1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4" zoomScaleNormal="100" workbookViewId="0">
      <selection activeCell="D16" sqref="D16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1"/>
      <c r="C1" s="591"/>
      <c r="D1" s="591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1605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-59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-45725000</v>
      </c>
    </row>
    <row r="10" spans="2:11" ht="20.100000000000001" customHeight="1">
      <c r="B10" s="291" t="s">
        <v>1446</v>
      </c>
      <c r="C10" s="292" t="s">
        <v>9</v>
      </c>
      <c r="D10" s="298">
        <f ca="1">RAB!K38</f>
        <v>20595983.399999999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411919.66800000001</v>
      </c>
    </row>
    <row r="12" spans="2:11" ht="9" customHeight="1">
      <c r="B12" s="592"/>
      <c r="C12" s="592"/>
      <c r="D12" s="592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1616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1626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164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3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380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v>105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3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380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1458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972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775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C7" sqref="C7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593" t="s">
        <v>1357</v>
      </c>
      <c r="C3" s="593"/>
      <c r="D3" s="593"/>
      <c r="E3" s="593"/>
      <c r="F3" s="305" t="str">
        <f>DATA!D14</f>
        <v>HJ KASMI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594" t="s">
        <v>1349</v>
      </c>
      <c r="C5" s="594" t="s">
        <v>1358</v>
      </c>
      <c r="D5" s="595" t="s">
        <v>1359</v>
      </c>
      <c r="E5" s="595" t="s">
        <v>1360</v>
      </c>
      <c r="F5" s="594" t="s">
        <v>1361</v>
      </c>
      <c r="G5" s="594"/>
      <c r="H5" s="594"/>
      <c r="I5" s="594"/>
      <c r="J5" s="594"/>
      <c r="K5" s="594" t="s">
        <v>1362</v>
      </c>
      <c r="L5" s="594"/>
      <c r="M5" s="307"/>
      <c r="N5" s="598" t="s">
        <v>1363</v>
      </c>
      <c r="O5" s="595" t="s">
        <v>1364</v>
      </c>
      <c r="P5" s="595" t="s">
        <v>1365</v>
      </c>
      <c r="Q5" s="595" t="s">
        <v>1366</v>
      </c>
      <c r="R5" s="308"/>
      <c r="S5" s="309"/>
      <c r="T5" s="596" t="s">
        <v>1367</v>
      </c>
      <c r="U5" s="310"/>
    </row>
    <row r="6" spans="1:21" ht="20.100000000000001" customHeight="1">
      <c r="B6" s="594"/>
      <c r="C6" s="594"/>
      <c r="D6" s="594"/>
      <c r="E6" s="594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599"/>
      <c r="O6" s="594"/>
      <c r="P6" s="594"/>
      <c r="Q6" s="594"/>
      <c r="R6" s="308"/>
      <c r="S6" s="309"/>
      <c r="T6" s="594"/>
      <c r="U6" s="312"/>
    </row>
    <row r="7" spans="1:21" ht="20.100000000000001" customHeight="1">
      <c r="A7" s="313">
        <v>0</v>
      </c>
      <c r="B7" s="314">
        <v>2023</v>
      </c>
      <c r="C7" s="477">
        <f>DATA!D8*DATA!D26*1</f>
        <v>-2360</v>
      </c>
      <c r="D7" s="316">
        <f>C7*4/24</f>
        <v>-393.33333333333331</v>
      </c>
      <c r="E7" s="316">
        <f>C7-D7</f>
        <v>-1966.6666666666667</v>
      </c>
      <c r="F7" s="317">
        <f ca="1">DATA!D10/1000000</f>
        <v>20.595983399999998</v>
      </c>
      <c r="G7" s="318">
        <f ca="1">DATA!$D$11/1000000</f>
        <v>0.41191966800000002</v>
      </c>
      <c r="H7" s="318">
        <f>C7*DATA!$D$5/1000000</f>
        <v>-2.5585351082923387</v>
      </c>
      <c r="I7" s="318">
        <f>(C7*DATA!$D$5*DATA!$D$7)/1000000</f>
        <v>-5.7567039936577608E-2</v>
      </c>
      <c r="J7" s="316">
        <f ca="1">SUM(F7:I7)</f>
        <v>18.391800919771079</v>
      </c>
      <c r="K7" s="319">
        <f>DATA!D9/1000000</f>
        <v>-45.725000000000001</v>
      </c>
      <c r="L7" s="316">
        <f>((D7*DATA!$D$23)/1000000)+((E7*DATA!$D$24)/1000000)</f>
        <v>-2.48508</v>
      </c>
      <c r="M7" s="316">
        <f>K7+L7</f>
        <v>-48.210080000000005</v>
      </c>
      <c r="N7" s="316">
        <f ca="1">M7-J7</f>
        <v>-66.601880919771077</v>
      </c>
      <c r="O7" s="314">
        <v>1</v>
      </c>
      <c r="P7" s="316">
        <f ca="1">O7*N7</f>
        <v>-66.601880919771077</v>
      </c>
      <c r="Q7" s="316">
        <f ca="1">P7</f>
        <v>-66.601880919771077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-28320</v>
      </c>
      <c r="D8" s="316">
        <f>C8*4/24</f>
        <v>-4720</v>
      </c>
      <c r="E8" s="316">
        <f t="shared" ref="E8:E32" si="0">C8-D8</f>
        <v>-23600</v>
      </c>
      <c r="F8" s="314"/>
      <c r="G8" s="318">
        <f ca="1">DATA!$D$11/1000000</f>
        <v>0.41191966800000002</v>
      </c>
      <c r="H8" s="318">
        <f>C8*DATA!$D$5/1000000</f>
        <v>-30.70242129950806</v>
      </c>
      <c r="I8" s="318">
        <f>(C8*DATA!$D$5*DATA!$D$7)/1000000</f>
        <v>-0.69080447923893129</v>
      </c>
      <c r="J8" s="316">
        <f t="shared" ref="J8:J32" ca="1" si="1">SUM(F8:I8)</f>
        <v>-30.981306110746992</v>
      </c>
      <c r="K8" s="321"/>
      <c r="L8" s="316">
        <f>((D8*DATA!$D$23)/1000000)+((E8*DATA!$D$24)/1000000)</f>
        <v>-29.820959999999999</v>
      </c>
      <c r="M8" s="316">
        <f t="shared" ref="M8:M32" si="2">K8+L8</f>
        <v>-29.820959999999999</v>
      </c>
      <c r="N8" s="316">
        <f ca="1">M8-J8</f>
        <v>1.1603461107469926</v>
      </c>
      <c r="O8" s="315">
        <f>1/(1+'[93]Asumsi I'!$C$3)^(KKF!A8)</f>
        <v>0.89285714285714279</v>
      </c>
      <c r="P8" s="316">
        <f ca="1">O8*N8</f>
        <v>1.0360233131669576</v>
      </c>
      <c r="Q8" s="316">
        <f ca="1">Q7+P8</f>
        <v>-65.565857606604112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-28320</v>
      </c>
      <c r="D9" s="316">
        <f t="shared" ref="D9:D32" si="5">C9*4/24</f>
        <v>-4720</v>
      </c>
      <c r="E9" s="316">
        <f t="shared" si="0"/>
        <v>-23600</v>
      </c>
      <c r="F9" s="314"/>
      <c r="G9" s="318">
        <f ca="1">DATA!$D$11/1000000</f>
        <v>0.41191966800000002</v>
      </c>
      <c r="H9" s="318">
        <f>C9*DATA!$D$5/1000000</f>
        <v>-30.70242129950806</v>
      </c>
      <c r="I9" s="318">
        <f>(C9*DATA!$D$5*DATA!$D$7)/1000000</f>
        <v>-0.69080447923893129</v>
      </c>
      <c r="J9" s="316">
        <f t="shared" ca="1" si="1"/>
        <v>-30.981306110746992</v>
      </c>
      <c r="K9" s="316"/>
      <c r="L9" s="316">
        <f>((D9*DATA!$D$23)/1000000)+((E9*DATA!$D$24)/1000000)</f>
        <v>-29.820959999999999</v>
      </c>
      <c r="M9" s="316">
        <f t="shared" si="2"/>
        <v>-29.820959999999999</v>
      </c>
      <c r="N9" s="316">
        <f t="shared" ref="N9:N32" ca="1" si="6">M9-J9</f>
        <v>1.1603461107469926</v>
      </c>
      <c r="O9" s="322">
        <f>1/(1+'[93]Asumsi I'!$C$3)^(KKF!A9)</f>
        <v>0.79719387755102034</v>
      </c>
      <c r="P9" s="316">
        <f t="shared" ref="P9:P32" ca="1" si="7">O9*N9</f>
        <v>0.92502081532764069</v>
      </c>
      <c r="Q9" s="316">
        <f ca="1">Q8+P9</f>
        <v>-64.64083679127647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-28320</v>
      </c>
      <c r="D10" s="316">
        <f t="shared" si="5"/>
        <v>-4720</v>
      </c>
      <c r="E10" s="316">
        <f t="shared" si="0"/>
        <v>-23600</v>
      </c>
      <c r="F10" s="314"/>
      <c r="G10" s="318">
        <f ca="1">DATA!$D$11/1000000</f>
        <v>0.41191966800000002</v>
      </c>
      <c r="H10" s="318">
        <f>C10*DATA!$D$5/1000000</f>
        <v>-30.70242129950806</v>
      </c>
      <c r="I10" s="318">
        <f>(C10*DATA!$D$5*DATA!$D$7)/1000000</f>
        <v>-0.69080447923893129</v>
      </c>
      <c r="J10" s="316">
        <f t="shared" ca="1" si="1"/>
        <v>-30.981306110746992</v>
      </c>
      <c r="K10" s="314"/>
      <c r="L10" s="316">
        <f>((D10*DATA!$D$23)/1000000)+((E10*DATA!$D$24)/1000000)</f>
        <v>-29.820959999999999</v>
      </c>
      <c r="M10" s="316">
        <f t="shared" si="2"/>
        <v>-29.820959999999999</v>
      </c>
      <c r="N10" s="316">
        <f t="shared" ca="1" si="6"/>
        <v>1.1603461107469926</v>
      </c>
      <c r="O10" s="315">
        <f>1/(1+'[93]Asumsi I'!$C$3)^(KKF!A10)</f>
        <v>0.71178024781341087</v>
      </c>
      <c r="P10" s="316">
        <f t="shared" ca="1" si="7"/>
        <v>0.82591144225682189</v>
      </c>
      <c r="Q10" s="316">
        <f t="shared" ref="Q10:Q30" ca="1" si="9">Q9+P10</f>
        <v>-63.814925349019646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-28320</v>
      </c>
      <c r="D11" s="316">
        <f t="shared" si="5"/>
        <v>-4720</v>
      </c>
      <c r="E11" s="316">
        <f t="shared" si="0"/>
        <v>-23600</v>
      </c>
      <c r="F11" s="314"/>
      <c r="G11" s="318">
        <f ca="1">DATA!$D$11/1000000</f>
        <v>0.41191966800000002</v>
      </c>
      <c r="H11" s="318">
        <f>C11*DATA!$D$5/1000000</f>
        <v>-30.70242129950806</v>
      </c>
      <c r="I11" s="318">
        <f>(C11*DATA!$D$5*DATA!$D$7)/1000000</f>
        <v>-0.69080447923893129</v>
      </c>
      <c r="J11" s="316">
        <f t="shared" ca="1" si="1"/>
        <v>-30.981306110746992</v>
      </c>
      <c r="K11" s="314"/>
      <c r="L11" s="316">
        <f>((D11*DATA!$D$23)/1000000)+((E11*DATA!$D$24)/1000000)</f>
        <v>-29.820959999999999</v>
      </c>
      <c r="M11" s="316">
        <f t="shared" si="2"/>
        <v>-29.820959999999999</v>
      </c>
      <c r="N11" s="316">
        <f t="shared" ca="1" si="6"/>
        <v>1.1603461107469926</v>
      </c>
      <c r="O11" s="315">
        <f>1/(1+'[93]Asumsi I'!$C$3)^(KKF!A11)</f>
        <v>0.63551807840483121</v>
      </c>
      <c r="P11" s="316">
        <f t="shared" ca="1" si="7"/>
        <v>0.7374209305864482</v>
      </c>
      <c r="Q11" s="316">
        <f t="shared" ca="1" si="9"/>
        <v>-63.0775044184332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-28320</v>
      </c>
      <c r="D12" s="316">
        <f t="shared" si="5"/>
        <v>-4720</v>
      </c>
      <c r="E12" s="316">
        <f t="shared" si="0"/>
        <v>-23600</v>
      </c>
      <c r="F12" s="314"/>
      <c r="G12" s="318">
        <f ca="1">DATA!$D$11/1000000</f>
        <v>0.41191966800000002</v>
      </c>
      <c r="H12" s="318">
        <f>C12*DATA!$D$5/1000000</f>
        <v>-30.70242129950806</v>
      </c>
      <c r="I12" s="318">
        <f>(C12*DATA!$D$5*DATA!$D$7)/1000000</f>
        <v>-0.69080447923893129</v>
      </c>
      <c r="J12" s="316">
        <f t="shared" ca="1" si="1"/>
        <v>-30.981306110746992</v>
      </c>
      <c r="K12" s="314"/>
      <c r="L12" s="316">
        <f>((D12*DATA!$D$23)/1000000)+((E12*DATA!$D$24)/1000000)</f>
        <v>-29.820959999999999</v>
      </c>
      <c r="M12" s="316">
        <f t="shared" si="2"/>
        <v>-29.820959999999999</v>
      </c>
      <c r="N12" s="316">
        <f t="shared" ca="1" si="6"/>
        <v>1.1603461107469926</v>
      </c>
      <c r="O12" s="315">
        <f>1/(1+'[93]Asumsi I'!$C$3)^(KKF!A12)</f>
        <v>0.56742685571859919</v>
      </c>
      <c r="P12" s="316">
        <f t="shared" ca="1" si="7"/>
        <v>0.65841154516647149</v>
      </c>
      <c r="Q12" s="316">
        <f t="shared" ca="1" si="9"/>
        <v>-62.419092873266727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-28320</v>
      </c>
      <c r="D13" s="316">
        <f t="shared" si="5"/>
        <v>-4720</v>
      </c>
      <c r="E13" s="316">
        <f t="shared" si="0"/>
        <v>-23600</v>
      </c>
      <c r="F13" s="314"/>
      <c r="G13" s="318">
        <f ca="1">DATA!$D$11/1000000</f>
        <v>0.41191966800000002</v>
      </c>
      <c r="H13" s="318">
        <f>C13*DATA!$D$5/1000000</f>
        <v>-30.70242129950806</v>
      </c>
      <c r="I13" s="318">
        <f>(C13*DATA!$D$5*DATA!$D$7)/1000000</f>
        <v>-0.69080447923893129</v>
      </c>
      <c r="J13" s="316">
        <f t="shared" ca="1" si="1"/>
        <v>-30.981306110746992</v>
      </c>
      <c r="K13" s="314"/>
      <c r="L13" s="316">
        <f>((D13*DATA!$D$23)/1000000)+((E13*DATA!$D$24)/1000000)</f>
        <v>-29.820959999999999</v>
      </c>
      <c r="M13" s="316">
        <f t="shared" si="2"/>
        <v>-29.820959999999999</v>
      </c>
      <c r="N13" s="316">
        <f t="shared" ca="1" si="6"/>
        <v>1.1603461107469926</v>
      </c>
      <c r="O13" s="315">
        <f>1/(1+'[93]Asumsi I'!$C$3)^(KKF!A13)</f>
        <v>0.50663112117732068</v>
      </c>
      <c r="P13" s="316">
        <f t="shared" ca="1" si="7"/>
        <v>0.58786745104149229</v>
      </c>
      <c r="Q13" s="316">
        <f t="shared" ca="1" si="9"/>
        <v>-61.831225422225238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-28320</v>
      </c>
      <c r="D14" s="316">
        <f t="shared" si="5"/>
        <v>-4720</v>
      </c>
      <c r="E14" s="316">
        <f t="shared" si="0"/>
        <v>-23600</v>
      </c>
      <c r="F14" s="314"/>
      <c r="G14" s="318">
        <f ca="1">DATA!$D$11/1000000</f>
        <v>0.41191966800000002</v>
      </c>
      <c r="H14" s="318">
        <f>C14*DATA!$D$5/1000000</f>
        <v>-30.70242129950806</v>
      </c>
      <c r="I14" s="318">
        <f>(C14*DATA!$D$5*DATA!$D$7)/1000000</f>
        <v>-0.69080447923893129</v>
      </c>
      <c r="J14" s="316">
        <f t="shared" ca="1" si="1"/>
        <v>-30.981306110746992</v>
      </c>
      <c r="K14" s="314"/>
      <c r="L14" s="316">
        <f>((D14*DATA!$D$23)/1000000)+((E14*DATA!$D$24)/1000000)</f>
        <v>-29.820959999999999</v>
      </c>
      <c r="M14" s="316">
        <f t="shared" si="2"/>
        <v>-29.820959999999999</v>
      </c>
      <c r="N14" s="316">
        <f t="shared" ca="1" si="6"/>
        <v>1.1603461107469926</v>
      </c>
      <c r="O14" s="315">
        <f>1/(1+'[93]Asumsi I'!$C$3)^(KKF!A14)</f>
        <v>0.45234921533689343</v>
      </c>
      <c r="P14" s="316">
        <f t="shared" ca="1" si="7"/>
        <v>0.52488165271561815</v>
      </c>
      <c r="Q14" s="316">
        <f t="shared" ca="1" si="9"/>
        <v>-61.306343769509617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-28320</v>
      </c>
      <c r="D15" s="316">
        <f t="shared" si="5"/>
        <v>-4720</v>
      </c>
      <c r="E15" s="316">
        <f t="shared" si="0"/>
        <v>-23600</v>
      </c>
      <c r="F15" s="314"/>
      <c r="G15" s="318">
        <f ca="1">DATA!$D$11/1000000</f>
        <v>0.41191966800000002</v>
      </c>
      <c r="H15" s="318">
        <f>C15*DATA!$D$5/1000000</f>
        <v>-30.70242129950806</v>
      </c>
      <c r="I15" s="318">
        <f>(C15*DATA!$D$5*DATA!$D$7)/1000000</f>
        <v>-0.69080447923893129</v>
      </c>
      <c r="J15" s="316">
        <f t="shared" ca="1" si="1"/>
        <v>-30.981306110746992</v>
      </c>
      <c r="K15" s="314"/>
      <c r="L15" s="316">
        <f>((D15*DATA!$D$23)/1000000)+((E15*DATA!$D$24)/1000000)</f>
        <v>-29.820959999999999</v>
      </c>
      <c r="M15" s="316">
        <f t="shared" si="2"/>
        <v>-29.820959999999999</v>
      </c>
      <c r="N15" s="316">
        <f t="shared" ca="1" si="6"/>
        <v>1.1603461107469926</v>
      </c>
      <c r="O15" s="315">
        <f>1/(1+'[93]Asumsi I'!$C$3)^(KKF!A15)</f>
        <v>0.4038832279793691</v>
      </c>
      <c r="P15" s="316">
        <f t="shared" ca="1" si="7"/>
        <v>0.46864433278180184</v>
      </c>
      <c r="Q15" s="316">
        <f t="shared" ca="1" si="9"/>
        <v>-60.837699436727817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-28320</v>
      </c>
      <c r="D16" s="316">
        <f t="shared" si="5"/>
        <v>-4720</v>
      </c>
      <c r="E16" s="316">
        <f t="shared" si="0"/>
        <v>-23600</v>
      </c>
      <c r="F16" s="314"/>
      <c r="G16" s="318">
        <f ca="1">DATA!$D$11/1000000</f>
        <v>0.41191966800000002</v>
      </c>
      <c r="H16" s="318">
        <f>C16*DATA!$D$5/1000000</f>
        <v>-30.70242129950806</v>
      </c>
      <c r="I16" s="318">
        <f>(C16*DATA!$D$5*DATA!$D$7)/1000000</f>
        <v>-0.69080447923893129</v>
      </c>
      <c r="J16" s="316">
        <f t="shared" ca="1" si="1"/>
        <v>-30.981306110746992</v>
      </c>
      <c r="K16" s="314"/>
      <c r="L16" s="316">
        <f>((D16*DATA!$D$23)/1000000)+((E16*DATA!$D$24)/1000000)</f>
        <v>-29.820959999999999</v>
      </c>
      <c r="M16" s="316">
        <f t="shared" si="2"/>
        <v>-29.820959999999999</v>
      </c>
      <c r="N16" s="316">
        <f t="shared" ca="1" si="6"/>
        <v>1.1603461107469926</v>
      </c>
      <c r="O16" s="315">
        <f>1/(1+'[93]Asumsi I'!$C$3)^(KKF!A16)</f>
        <v>0.36061002498157957</v>
      </c>
      <c r="P16" s="316">
        <f t="shared" ca="1" si="7"/>
        <v>0.41843243998375168</v>
      </c>
      <c r="Q16" s="316">
        <f t="shared" ca="1" si="9"/>
        <v>-60.419266996744064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-28320</v>
      </c>
      <c r="D17" s="316">
        <f t="shared" si="5"/>
        <v>-4720</v>
      </c>
      <c r="E17" s="316">
        <f t="shared" si="0"/>
        <v>-23600</v>
      </c>
      <c r="F17" s="314"/>
      <c r="G17" s="318">
        <f ca="1">DATA!$D$11/1000000</f>
        <v>0.41191966800000002</v>
      </c>
      <c r="H17" s="318">
        <f>C17*DATA!$D$5/1000000</f>
        <v>-30.70242129950806</v>
      </c>
      <c r="I17" s="318">
        <f>(C17*DATA!$D$5*DATA!$D$7)/1000000</f>
        <v>-0.69080447923893129</v>
      </c>
      <c r="J17" s="316">
        <f t="shared" ca="1" si="1"/>
        <v>-30.981306110746992</v>
      </c>
      <c r="K17" s="314"/>
      <c r="L17" s="316">
        <f>((D17*DATA!$D$23)/1000000)+((E17*DATA!$D$24)/1000000)</f>
        <v>-29.820959999999999</v>
      </c>
      <c r="M17" s="316">
        <f t="shared" si="2"/>
        <v>-29.820959999999999</v>
      </c>
      <c r="N17" s="316">
        <f t="shared" ca="1" si="6"/>
        <v>1.1603461107469926</v>
      </c>
      <c r="O17" s="315">
        <f>1/(1+'[93]Asumsi I'!$C$3)^(KKF!A17)</f>
        <v>0.32197323659069599</v>
      </c>
      <c r="P17" s="316">
        <f t="shared" ca="1" si="7"/>
        <v>0.37360039284263535</v>
      </c>
      <c r="Q17" s="316">
        <f t="shared" ca="1" si="9"/>
        <v>-60.045666603901431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-28320</v>
      </c>
      <c r="D18" s="316">
        <f t="shared" si="5"/>
        <v>-4720</v>
      </c>
      <c r="E18" s="316">
        <f t="shared" si="0"/>
        <v>-23600</v>
      </c>
      <c r="F18" s="314"/>
      <c r="G18" s="318">
        <f ca="1">DATA!$D$11/1000000</f>
        <v>0.41191966800000002</v>
      </c>
      <c r="H18" s="318">
        <f>C18*DATA!$D$5/1000000</f>
        <v>-30.70242129950806</v>
      </c>
      <c r="I18" s="318">
        <f>(C18*DATA!$D$5*DATA!$D$7)/1000000</f>
        <v>-0.69080447923893129</v>
      </c>
      <c r="J18" s="316">
        <f t="shared" ca="1" si="1"/>
        <v>-30.981306110746992</v>
      </c>
      <c r="K18" s="314"/>
      <c r="L18" s="316">
        <f>((D18*DATA!$D$23)/1000000)+((E18*DATA!$D$24)/1000000)</f>
        <v>-29.820959999999999</v>
      </c>
      <c r="M18" s="316">
        <f t="shared" si="2"/>
        <v>-29.820959999999999</v>
      </c>
      <c r="N18" s="316">
        <f t="shared" ca="1" si="6"/>
        <v>1.1603461107469926</v>
      </c>
      <c r="O18" s="315">
        <f>1/(1+'[93]Asumsi I'!$C$3)^(KKF!A18)</f>
        <v>0.28747610409883567</v>
      </c>
      <c r="P18" s="316">
        <f t="shared" ca="1" si="7"/>
        <v>0.33357177932378151</v>
      </c>
      <c r="Q18" s="316">
        <f t="shared" ca="1" si="9"/>
        <v>-59.712094824577648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-28320</v>
      </c>
      <c r="D19" s="316">
        <f t="shared" si="5"/>
        <v>-4720</v>
      </c>
      <c r="E19" s="316">
        <f t="shared" si="0"/>
        <v>-23600</v>
      </c>
      <c r="F19" s="314"/>
      <c r="G19" s="318">
        <f ca="1">DATA!$D$11/1000000</f>
        <v>0.41191966800000002</v>
      </c>
      <c r="H19" s="318">
        <f>C19*DATA!$D$5/1000000</f>
        <v>-30.70242129950806</v>
      </c>
      <c r="I19" s="318">
        <f>(C19*DATA!$D$5*DATA!$D$7)/1000000</f>
        <v>-0.69080447923893129</v>
      </c>
      <c r="J19" s="316">
        <f t="shared" ca="1" si="1"/>
        <v>-30.981306110746992</v>
      </c>
      <c r="K19" s="314"/>
      <c r="L19" s="316">
        <f>((D19*DATA!$D$23)/1000000)+((E19*DATA!$D$24)/1000000)</f>
        <v>-29.820959999999999</v>
      </c>
      <c r="M19" s="316">
        <f t="shared" si="2"/>
        <v>-29.820959999999999</v>
      </c>
      <c r="N19" s="316">
        <f t="shared" ca="1" si="6"/>
        <v>1.1603461107469926</v>
      </c>
      <c r="O19" s="315">
        <f>1/(1+'[93]Asumsi I'!$C$3)^(KKF!A19)</f>
        <v>0.25667509294538904</v>
      </c>
      <c r="P19" s="316">
        <f t="shared" ca="1" si="7"/>
        <v>0.29783194582480499</v>
      </c>
      <c r="Q19" s="316">
        <f t="shared" ca="1" si="9"/>
        <v>-59.414262878752844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-28320</v>
      </c>
      <c r="D20" s="316">
        <f t="shared" si="5"/>
        <v>-4720</v>
      </c>
      <c r="E20" s="316">
        <f t="shared" si="0"/>
        <v>-23600</v>
      </c>
      <c r="F20" s="314"/>
      <c r="G20" s="318">
        <f ca="1">DATA!$D$11/1000000</f>
        <v>0.41191966800000002</v>
      </c>
      <c r="H20" s="318">
        <f>C20*DATA!$D$5/1000000</f>
        <v>-30.70242129950806</v>
      </c>
      <c r="I20" s="318">
        <f>(C20*DATA!$D$5*DATA!$D$7)/1000000</f>
        <v>-0.69080447923893129</v>
      </c>
      <c r="J20" s="316">
        <f t="shared" ca="1" si="1"/>
        <v>-30.981306110746992</v>
      </c>
      <c r="K20" s="314"/>
      <c r="L20" s="316">
        <f>((D20*DATA!$D$23)/1000000)+((E20*DATA!$D$24)/1000000)</f>
        <v>-29.820959999999999</v>
      </c>
      <c r="M20" s="316">
        <f t="shared" si="2"/>
        <v>-29.820959999999999</v>
      </c>
      <c r="N20" s="316">
        <f t="shared" ca="1" si="6"/>
        <v>1.1603461107469926</v>
      </c>
      <c r="O20" s="315">
        <f>1/(1+'[93]Asumsi I'!$C$3)^(KKF!A20)</f>
        <v>0.22917419012981158</v>
      </c>
      <c r="P20" s="316">
        <f t="shared" ca="1" si="7"/>
        <v>0.26592138020071865</v>
      </c>
      <c r="Q20" s="316">
        <f t="shared" ca="1" si="9"/>
        <v>-59.148341498552128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-28320</v>
      </c>
      <c r="D21" s="316">
        <f t="shared" si="5"/>
        <v>-4720</v>
      </c>
      <c r="E21" s="316">
        <f t="shared" si="0"/>
        <v>-23600</v>
      </c>
      <c r="F21" s="314"/>
      <c r="G21" s="318">
        <f ca="1">DATA!$D$11/1000000</f>
        <v>0.41191966800000002</v>
      </c>
      <c r="H21" s="318">
        <f>C21*DATA!$D$5/1000000</f>
        <v>-30.70242129950806</v>
      </c>
      <c r="I21" s="318">
        <f>(C21*DATA!$D$5*DATA!$D$7)/1000000</f>
        <v>-0.69080447923893129</v>
      </c>
      <c r="J21" s="316">
        <f t="shared" ca="1" si="1"/>
        <v>-30.981306110746992</v>
      </c>
      <c r="K21" s="314"/>
      <c r="L21" s="316">
        <f>((D21*DATA!$D$23)/1000000)+((E21*DATA!$D$24)/1000000)</f>
        <v>-29.820959999999999</v>
      </c>
      <c r="M21" s="316">
        <f t="shared" si="2"/>
        <v>-29.820959999999999</v>
      </c>
      <c r="N21" s="316">
        <f t="shared" ca="1" si="6"/>
        <v>1.1603461107469926</v>
      </c>
      <c r="O21" s="315">
        <f>1/(1+'[93]Asumsi I'!$C$3)^(KKF!A21)</f>
        <v>0.20461981261590317</v>
      </c>
      <c r="P21" s="316">
        <f t="shared" ca="1" si="7"/>
        <v>0.23742980375064165</v>
      </c>
      <c r="Q21" s="316">
        <f t="shared" ca="1" si="9"/>
        <v>-58.910911694801484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-28320</v>
      </c>
      <c r="D22" s="316">
        <f t="shared" si="5"/>
        <v>-4720</v>
      </c>
      <c r="E22" s="316">
        <f t="shared" si="0"/>
        <v>-23600</v>
      </c>
      <c r="F22" s="314"/>
      <c r="G22" s="318">
        <f ca="1">DATA!$D$11/1000000</f>
        <v>0.41191966800000002</v>
      </c>
      <c r="H22" s="318">
        <f>C22*DATA!$D$5/1000000</f>
        <v>-30.70242129950806</v>
      </c>
      <c r="I22" s="318">
        <f>(C22*DATA!$D$5*DATA!$D$7)/1000000</f>
        <v>-0.69080447923893129</v>
      </c>
      <c r="J22" s="316">
        <f t="shared" ca="1" si="1"/>
        <v>-30.981306110746992</v>
      </c>
      <c r="K22" s="314"/>
      <c r="L22" s="316">
        <f>((D22*DATA!$D$23)/1000000)+((E22*DATA!$D$24)/1000000)</f>
        <v>-29.820959999999999</v>
      </c>
      <c r="M22" s="316">
        <f t="shared" si="2"/>
        <v>-29.820959999999999</v>
      </c>
      <c r="N22" s="316">
        <f t="shared" ca="1" si="6"/>
        <v>1.1603461107469926</v>
      </c>
      <c r="O22" s="315">
        <f>1/(1+'[93]Asumsi I'!$C$3)^(KKF!A22)</f>
        <v>0.18269626126419927</v>
      </c>
      <c r="P22" s="316">
        <f t="shared" ca="1" si="7"/>
        <v>0.21199089620593006</v>
      </c>
      <c r="Q22" s="316">
        <f t="shared" ca="1" si="9"/>
        <v>-58.698920798595552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-28320</v>
      </c>
      <c r="D23" s="316">
        <f t="shared" si="5"/>
        <v>-4720</v>
      </c>
      <c r="E23" s="316">
        <f t="shared" si="0"/>
        <v>-23600</v>
      </c>
      <c r="F23" s="314"/>
      <c r="G23" s="318">
        <f ca="1">DATA!$D$11/1000000</f>
        <v>0.41191966800000002</v>
      </c>
      <c r="H23" s="318">
        <f>C23*DATA!$D$5/1000000</f>
        <v>-30.70242129950806</v>
      </c>
      <c r="I23" s="318">
        <f>(C23*DATA!$D$5*DATA!$D$7)/1000000</f>
        <v>-0.69080447923893129</v>
      </c>
      <c r="J23" s="316">
        <f t="shared" ca="1" si="1"/>
        <v>-30.981306110746992</v>
      </c>
      <c r="K23" s="314"/>
      <c r="L23" s="316">
        <f>((D23*DATA!$D$23)/1000000)+((E23*DATA!$D$24)/1000000)</f>
        <v>-29.820959999999999</v>
      </c>
      <c r="M23" s="316">
        <f t="shared" si="2"/>
        <v>-29.820959999999999</v>
      </c>
      <c r="N23" s="316">
        <f t="shared" ca="1" si="6"/>
        <v>1.1603461107469926</v>
      </c>
      <c r="O23" s="315">
        <f>1/(1+'[93]Asumsi I'!$C$3)^(KKF!A23)</f>
        <v>0.16312166184303503</v>
      </c>
      <c r="P23" s="316">
        <f t="shared" ca="1" si="7"/>
        <v>0.1892775858981518</v>
      </c>
      <c r="Q23" s="316">
        <f t="shared" ca="1" si="9"/>
        <v>-58.509643212697398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-28320</v>
      </c>
      <c r="D24" s="316">
        <f t="shared" si="5"/>
        <v>-4720</v>
      </c>
      <c r="E24" s="316">
        <f t="shared" si="0"/>
        <v>-23600</v>
      </c>
      <c r="F24" s="314"/>
      <c r="G24" s="318">
        <f ca="1">DATA!$D$11/1000000</f>
        <v>0.41191966800000002</v>
      </c>
      <c r="H24" s="318">
        <f>C24*DATA!$D$5/1000000</f>
        <v>-30.70242129950806</v>
      </c>
      <c r="I24" s="318">
        <f>(C24*DATA!$D$5*DATA!$D$7)/1000000</f>
        <v>-0.69080447923893129</v>
      </c>
      <c r="J24" s="316">
        <f t="shared" ca="1" si="1"/>
        <v>-30.981306110746992</v>
      </c>
      <c r="K24" s="314"/>
      <c r="L24" s="316">
        <f>((D24*DATA!$D$23)/1000000)+((E24*DATA!$D$24)/1000000)</f>
        <v>-29.820959999999999</v>
      </c>
      <c r="M24" s="316">
        <f t="shared" si="2"/>
        <v>-29.820959999999999</v>
      </c>
      <c r="N24" s="316">
        <f t="shared" ca="1" si="6"/>
        <v>1.1603461107469926</v>
      </c>
      <c r="O24" s="315">
        <f>1/(1+'[93]Asumsi I'!$C$3)^(KKF!A24)</f>
        <v>0.14564434093128129</v>
      </c>
      <c r="P24" s="316">
        <f t="shared" ca="1" si="7"/>
        <v>0.16899784455192127</v>
      </c>
      <c r="Q24" s="316">
        <f t="shared" ca="1" si="9"/>
        <v>-58.340645368145474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-28320</v>
      </c>
      <c r="D25" s="316">
        <f t="shared" si="5"/>
        <v>-4720</v>
      </c>
      <c r="E25" s="316">
        <f t="shared" si="0"/>
        <v>-23600</v>
      </c>
      <c r="F25" s="314"/>
      <c r="G25" s="318">
        <f ca="1">DATA!$D$11/1000000</f>
        <v>0.41191966800000002</v>
      </c>
      <c r="H25" s="318">
        <f>C25*DATA!$D$5/1000000</f>
        <v>-30.70242129950806</v>
      </c>
      <c r="I25" s="318">
        <f>(C25*DATA!$D$5*DATA!$D$7)/1000000</f>
        <v>-0.69080447923893129</v>
      </c>
      <c r="J25" s="316">
        <f t="shared" ca="1" si="1"/>
        <v>-30.981306110746992</v>
      </c>
      <c r="K25" s="314"/>
      <c r="L25" s="316">
        <f>((D25*DATA!$D$23)/1000000)+((E25*DATA!$D$24)/1000000)</f>
        <v>-29.820959999999999</v>
      </c>
      <c r="M25" s="316">
        <f t="shared" si="2"/>
        <v>-29.820959999999999</v>
      </c>
      <c r="N25" s="316">
        <f t="shared" ca="1" si="6"/>
        <v>1.1603461107469926</v>
      </c>
      <c r="O25" s="315">
        <f>1/(1+'[93]Asumsi I'!$C$3)^(KKF!A25)</f>
        <v>0.13003959011721541</v>
      </c>
      <c r="P25" s="316">
        <f t="shared" ca="1" si="7"/>
        <v>0.15089093263564396</v>
      </c>
      <c r="Q25" s="316">
        <f t="shared" ca="1" si="9"/>
        <v>-58.189754435509826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-28320</v>
      </c>
      <c r="D26" s="316">
        <f t="shared" si="5"/>
        <v>-4720</v>
      </c>
      <c r="E26" s="316">
        <f t="shared" si="0"/>
        <v>-23600</v>
      </c>
      <c r="F26" s="314"/>
      <c r="G26" s="318">
        <f ca="1">DATA!$D$11/1000000</f>
        <v>0.41191966800000002</v>
      </c>
      <c r="H26" s="318">
        <f>C26*DATA!$D$5/1000000</f>
        <v>-30.70242129950806</v>
      </c>
      <c r="I26" s="318">
        <f>(C26*DATA!$D$5*DATA!$D$7)/1000000</f>
        <v>-0.69080447923893129</v>
      </c>
      <c r="J26" s="316">
        <f t="shared" ca="1" si="1"/>
        <v>-30.981306110746992</v>
      </c>
      <c r="K26" s="314"/>
      <c r="L26" s="316">
        <f>((D26*DATA!$D$23)/1000000)+((E26*DATA!$D$24)/1000000)</f>
        <v>-29.820959999999999</v>
      </c>
      <c r="M26" s="316">
        <f t="shared" si="2"/>
        <v>-29.820959999999999</v>
      </c>
      <c r="N26" s="316">
        <f t="shared" ca="1" si="6"/>
        <v>1.1603461107469926</v>
      </c>
      <c r="O26" s="315">
        <f>1/(1+'[93]Asumsi I'!$C$3)^(KKF!A26)</f>
        <v>0.1161067768903709</v>
      </c>
      <c r="P26" s="316">
        <f t="shared" ca="1" si="7"/>
        <v>0.13472404699611065</v>
      </c>
      <c r="Q26" s="316">
        <f t="shared" ca="1" si="9"/>
        <v>-58.055030388513714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-28320</v>
      </c>
      <c r="D27" s="316">
        <f t="shared" si="5"/>
        <v>-4720</v>
      </c>
      <c r="E27" s="316">
        <f t="shared" si="0"/>
        <v>-23600</v>
      </c>
      <c r="F27" s="314"/>
      <c r="G27" s="318">
        <f ca="1">DATA!$D$11/1000000</f>
        <v>0.41191966800000002</v>
      </c>
      <c r="H27" s="318">
        <f>C27*DATA!$D$5/1000000</f>
        <v>-30.70242129950806</v>
      </c>
      <c r="I27" s="318">
        <f>(C27*DATA!$D$5*DATA!$D$7)/1000000</f>
        <v>-0.69080447923893129</v>
      </c>
      <c r="J27" s="316">
        <f t="shared" ca="1" si="1"/>
        <v>-30.981306110746992</v>
      </c>
      <c r="K27" s="314"/>
      <c r="L27" s="316">
        <f>((D27*DATA!$D$23)/1000000)+((E27*DATA!$D$24)/1000000)</f>
        <v>-29.820959999999999</v>
      </c>
      <c r="M27" s="316">
        <f t="shared" si="2"/>
        <v>-29.820959999999999</v>
      </c>
      <c r="N27" s="316">
        <f t="shared" ca="1" si="6"/>
        <v>1.1603461107469926</v>
      </c>
      <c r="O27" s="315">
        <f>1/(1+'[93]Asumsi I'!$C$3)^(KKF!A27)</f>
        <v>0.1036667650806883</v>
      </c>
      <c r="P27" s="316">
        <f t="shared" ca="1" si="7"/>
        <v>0.1202893276750988</v>
      </c>
      <c r="Q27" s="316">
        <f t="shared" ca="1" si="9"/>
        <v>-57.934741060838618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-28320</v>
      </c>
      <c r="D28" s="316">
        <f t="shared" si="5"/>
        <v>-4720</v>
      </c>
      <c r="E28" s="316">
        <f t="shared" si="0"/>
        <v>-23600</v>
      </c>
      <c r="F28" s="314"/>
      <c r="G28" s="318">
        <f ca="1">DATA!$D$11/1000000</f>
        <v>0.41191966800000002</v>
      </c>
      <c r="H28" s="318">
        <f>C28*DATA!$D$5/1000000</f>
        <v>-30.70242129950806</v>
      </c>
      <c r="I28" s="318">
        <f>(C28*DATA!$D$5*DATA!$D$7)/1000000</f>
        <v>-0.69080447923893129</v>
      </c>
      <c r="J28" s="316">
        <f t="shared" ca="1" si="1"/>
        <v>-30.981306110746992</v>
      </c>
      <c r="K28" s="314"/>
      <c r="L28" s="316">
        <f>((D28*DATA!$D$23)/1000000)+((E28*DATA!$D$24)/1000000)</f>
        <v>-29.820959999999999</v>
      </c>
      <c r="M28" s="316">
        <f t="shared" si="2"/>
        <v>-29.820959999999999</v>
      </c>
      <c r="N28" s="316">
        <f t="shared" ca="1" si="6"/>
        <v>1.1603461107469926</v>
      </c>
      <c r="O28" s="315">
        <f>1/(1+'[93]Asumsi I'!$C$3)^(KKF!A28)</f>
        <v>9.2559611679185971E-2</v>
      </c>
      <c r="P28" s="316">
        <f t="shared" ca="1" si="7"/>
        <v>0.10740118542419536</v>
      </c>
      <c r="Q28" s="316">
        <f t="shared" ca="1" si="9"/>
        <v>-57.827339875414424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-28320</v>
      </c>
      <c r="D29" s="316">
        <f t="shared" si="5"/>
        <v>-4720</v>
      </c>
      <c r="E29" s="316">
        <f t="shared" si="0"/>
        <v>-23600</v>
      </c>
      <c r="F29" s="314"/>
      <c r="G29" s="318">
        <f ca="1">DATA!$D$11/1000000</f>
        <v>0.41191966800000002</v>
      </c>
      <c r="H29" s="318">
        <f>C29*DATA!$D$5/1000000</f>
        <v>-30.70242129950806</v>
      </c>
      <c r="I29" s="318">
        <f>(C29*DATA!$D$5*DATA!$D$7)/1000000</f>
        <v>-0.69080447923893129</v>
      </c>
      <c r="J29" s="316">
        <f t="shared" ca="1" si="1"/>
        <v>-30.981306110746992</v>
      </c>
      <c r="K29" s="314"/>
      <c r="L29" s="316">
        <f>((D29*DATA!$D$23)/1000000)+((E29*DATA!$D$24)/1000000)</f>
        <v>-29.820959999999999</v>
      </c>
      <c r="M29" s="316">
        <f t="shared" si="2"/>
        <v>-29.820959999999999</v>
      </c>
      <c r="N29" s="316">
        <f t="shared" ca="1" si="6"/>
        <v>1.1603461107469926</v>
      </c>
      <c r="O29" s="315">
        <f>1/(1+'[93]Asumsi I'!$C$3)^(KKF!A29)</f>
        <v>8.2642510427844609E-2</v>
      </c>
      <c r="P29" s="316">
        <f t="shared" ca="1" si="7"/>
        <v>9.5893915557317272E-2</v>
      </c>
      <c r="Q29" s="316">
        <f t="shared" ca="1" si="9"/>
        <v>-57.731445959857105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-28320</v>
      </c>
      <c r="D30" s="316">
        <f t="shared" si="5"/>
        <v>-4720</v>
      </c>
      <c r="E30" s="316">
        <f t="shared" si="0"/>
        <v>-23600</v>
      </c>
      <c r="F30" s="314"/>
      <c r="G30" s="318">
        <f ca="1">DATA!$D$11/1000000</f>
        <v>0.41191966800000002</v>
      </c>
      <c r="H30" s="318">
        <f>C30*DATA!$D$5/1000000</f>
        <v>-30.70242129950806</v>
      </c>
      <c r="I30" s="318">
        <f>(C30*DATA!$D$5*DATA!$D$7)/1000000</f>
        <v>-0.69080447923893129</v>
      </c>
      <c r="J30" s="316">
        <f t="shared" ca="1" si="1"/>
        <v>-30.981306110746992</v>
      </c>
      <c r="K30" s="314"/>
      <c r="L30" s="316">
        <f>((D30*DATA!$D$23)/1000000)+((E30*DATA!$D$24)/1000000)</f>
        <v>-29.820959999999999</v>
      </c>
      <c r="M30" s="316">
        <f t="shared" si="2"/>
        <v>-29.820959999999999</v>
      </c>
      <c r="N30" s="316">
        <f t="shared" ca="1" si="6"/>
        <v>1.1603461107469926</v>
      </c>
      <c r="O30" s="315">
        <f>1/(1+'[93]Asumsi I'!$C$3)^(KKF!A30)</f>
        <v>7.3787955739146982E-2</v>
      </c>
      <c r="P30" s="316">
        <f t="shared" ca="1" si="7"/>
        <v>8.5619567461890436E-2</v>
      </c>
      <c r="Q30" s="316">
        <f t="shared" ca="1" si="9"/>
        <v>-57.645826392395215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-28320</v>
      </c>
      <c r="D31" s="316">
        <f t="shared" si="5"/>
        <v>-4720</v>
      </c>
      <c r="E31" s="316">
        <f t="shared" si="0"/>
        <v>-23600</v>
      </c>
      <c r="F31" s="314"/>
      <c r="G31" s="318">
        <f ca="1">DATA!$D$11/1000000</f>
        <v>0.41191966800000002</v>
      </c>
      <c r="H31" s="318">
        <f>C31*DATA!$D$5/1000000</f>
        <v>-30.70242129950806</v>
      </c>
      <c r="I31" s="318">
        <f>(C31*DATA!$D$5*DATA!$D$7)/1000000</f>
        <v>-0.69080447923893129</v>
      </c>
      <c r="J31" s="316">
        <f t="shared" ca="1" si="1"/>
        <v>-30.981306110746992</v>
      </c>
      <c r="K31" s="314"/>
      <c r="L31" s="316">
        <f>((D31*DATA!$D$23)/1000000)+((E31*DATA!$D$24)/1000000)</f>
        <v>-29.820959999999999</v>
      </c>
      <c r="M31" s="316">
        <f t="shared" si="2"/>
        <v>-29.820959999999999</v>
      </c>
      <c r="N31" s="316">
        <f t="shared" ca="1" si="6"/>
        <v>1.1603461107469926</v>
      </c>
      <c r="O31" s="315">
        <f>1/(1+'[93]Asumsi I'!$C$3)^(KKF!A31)</f>
        <v>6.5882103338524081E-2</v>
      </c>
      <c r="P31" s="316">
        <f t="shared" ca="1" si="7"/>
        <v>7.6446042376687867E-2</v>
      </c>
      <c r="Q31" s="316">
        <f ca="1">Q30+P31</f>
        <v>-57.569380350018527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-28320</v>
      </c>
      <c r="D32" s="316">
        <f t="shared" si="5"/>
        <v>-4720</v>
      </c>
      <c r="E32" s="316">
        <f t="shared" si="0"/>
        <v>-23600</v>
      </c>
      <c r="F32" s="314"/>
      <c r="G32" s="318">
        <f ca="1">DATA!$D$11/1000000</f>
        <v>0.41191966800000002</v>
      </c>
      <c r="H32" s="318">
        <f>C32*DATA!$D$5/1000000</f>
        <v>-30.70242129950806</v>
      </c>
      <c r="I32" s="318">
        <f>(C32*DATA!$D$5*DATA!$D$7)/1000000</f>
        <v>-0.69080447923893129</v>
      </c>
      <c r="J32" s="316">
        <f t="shared" ca="1" si="1"/>
        <v>-30.981306110746992</v>
      </c>
      <c r="K32" s="314"/>
      <c r="L32" s="316">
        <f>((D32*DATA!$D$23)/1000000)+((E32*DATA!$D$24)/1000000)</f>
        <v>-29.820959999999999</v>
      </c>
      <c r="M32" s="316">
        <f t="shared" si="2"/>
        <v>-29.820959999999999</v>
      </c>
      <c r="N32" s="316">
        <f t="shared" ca="1" si="6"/>
        <v>1.1603461107469926</v>
      </c>
      <c r="O32" s="315">
        <f>1/(1+'[93]Asumsi I'!$C$3)^(KKF!A32)</f>
        <v>5.8823306552253637E-2</v>
      </c>
      <c r="P32" s="316">
        <f t="shared" ca="1" si="7"/>
        <v>6.8255394979185591E-2</v>
      </c>
      <c r="Q32" s="316">
        <f ca="1">Q31+P32</f>
        <v>-57.501124955039344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597" t="s">
        <v>1374</v>
      </c>
      <c r="G33" s="597"/>
      <c r="H33" s="597"/>
      <c r="I33" s="324"/>
      <c r="J33" s="325">
        <f ca="1">SUM(J7:J32)</f>
        <v>-756.14085184890382</v>
      </c>
      <c r="K33" s="597" t="s">
        <v>1375</v>
      </c>
      <c r="L33" s="597"/>
      <c r="M33" s="325">
        <f>SUM(M7:M32)</f>
        <v>-793.73408000000029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15.850271526252666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1.0497172293484396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-51.340290138427982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-5.5825347113702017E-2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2" priority="1" stopIfTrue="1" operator="greaterThanOrEqual">
      <formula>$F$7</formula>
    </cfRule>
    <cfRule type="cellIs" dxfId="11" priority="2" stopIfTrue="1" operator="lessThan">
      <formula>$F$7</formula>
    </cfRule>
  </conditionalFormatting>
  <conditionalFormatting sqref="Q7:Q32">
    <cfRule type="cellIs" dxfId="10" priority="3" operator="lessThan">
      <formula>0</formula>
    </cfRule>
    <cfRule type="cellIs" dxfId="9" priority="4" operator="lessThan">
      <formula>0</formula>
    </cfRule>
    <cfRule type="cellIs" dxfId="8" priority="5" operator="lessThan">
      <formula>-6395.81</formula>
    </cfRule>
    <cfRule type="cellIs" dxfId="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53"/>
  <sheetViews>
    <sheetView showGridLines="0" zoomScale="85" zoomScaleNormal="85" zoomScaleSheetLayoutView="70" workbookViewId="0">
      <pane ySplit="13" topLeftCell="A38" activePane="bottomLeft" state="frozen"/>
      <selection activeCell="H1093" sqref="H1093"/>
      <selection pane="bottomLeft" activeCell="N50" sqref="N50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00" t="s">
        <v>1036</v>
      </c>
      <c r="P3" s="600"/>
      <c r="Q3" s="346"/>
      <c r="T3" s="344"/>
      <c r="U3" s="345" t="s">
        <v>1041</v>
      </c>
      <c r="V3" s="344"/>
    </row>
    <row r="4" spans="1:22" ht="15.75" customHeight="1">
      <c r="B4" s="601" t="s">
        <v>1023</v>
      </c>
      <c r="C4" s="601"/>
      <c r="D4" s="601"/>
      <c r="E4" s="601"/>
      <c r="F4" s="601"/>
      <c r="G4" s="601"/>
      <c r="H4" s="601"/>
      <c r="I4" s="601"/>
      <c r="J4" s="601"/>
      <c r="K4" s="601"/>
      <c r="O4" s="600"/>
      <c r="P4" s="600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7" t="str">
        <f>DATA!D14</f>
        <v>HJ KASMI</v>
      </c>
      <c r="H6" s="617"/>
      <c r="I6" s="617"/>
      <c r="J6" s="617"/>
      <c r="K6" s="617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1617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03" t="s">
        <v>0</v>
      </c>
      <c r="C11" s="605" t="s">
        <v>1</v>
      </c>
      <c r="D11" s="608" t="s">
        <v>42</v>
      </c>
      <c r="E11" s="608" t="s">
        <v>43</v>
      </c>
      <c r="F11" s="608" t="s">
        <v>2</v>
      </c>
      <c r="G11" s="610" t="s">
        <v>41</v>
      </c>
      <c r="H11" s="608" t="s">
        <v>3</v>
      </c>
      <c r="I11" s="608"/>
      <c r="J11" s="608"/>
      <c r="K11" s="627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04"/>
      <c r="C12" s="606"/>
      <c r="D12" s="609"/>
      <c r="E12" s="609"/>
      <c r="F12" s="609"/>
      <c r="G12" s="611"/>
      <c r="H12" s="613" t="s">
        <v>46</v>
      </c>
      <c r="I12" s="613" t="s">
        <v>5</v>
      </c>
      <c r="J12" s="609" t="s">
        <v>47</v>
      </c>
      <c r="K12" s="628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04"/>
      <c r="C13" s="607"/>
      <c r="D13" s="609"/>
      <c r="E13" s="609"/>
      <c r="F13" s="609"/>
      <c r="G13" s="612"/>
      <c r="H13" s="614"/>
      <c r="I13" s="614"/>
      <c r="J13" s="609"/>
      <c r="K13" s="628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:H15" ca="1" si="0">IF(OR(D14="MDU",D14="MDU-KD"),(IF($O$3="RAB NON MDU","PLN KD",G14*F14)),0)</f>
        <v>0</v>
      </c>
      <c r="I14" s="361">
        <f t="shared" ref="I14:I15" ca="1" si="1">IF(D14="HDW",G14*F14,0)</f>
        <v>0</v>
      </c>
      <c r="J14" s="361">
        <f t="shared" ref="J14:J15" ca="1" si="2">IF(D14="JASA",G14*F14,0)</f>
        <v>0</v>
      </c>
      <c r="K14" s="362">
        <f t="shared" ref="K14:K15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ca="1" si="0"/>
        <v>0</v>
      </c>
      <c r="I15" s="361">
        <f t="shared" ca="1" si="1"/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71"/>
      <c r="C16" s="109"/>
      <c r="D16" s="358"/>
      <c r="E16" s="359"/>
      <c r="F16" s="368"/>
      <c r="G16" s="360"/>
      <c r="H16" s="361"/>
      <c r="I16" s="361"/>
      <c r="J16" s="361"/>
      <c r="K16" s="362"/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1607</v>
      </c>
      <c r="C17" s="367" t="s">
        <v>1612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4">IF(OR(D17="MDU",D17="MDU-KD"),(IF($O$3="RAB NON MDU","PLN KD",G17*F17)),0)</f>
        <v>0</v>
      </c>
      <c r="I17" s="361">
        <f t="shared" ref="I17" ca="1" si="5">IF(D17="HDW",G17*F17,0)</f>
        <v>0</v>
      </c>
      <c r="J17" s="361">
        <f t="shared" ref="J17" ca="1" si="6">IF(D17="JASA",G17*F17,0)</f>
        <v>0</v>
      </c>
      <c r="K17" s="362">
        <f t="shared" ref="K17" ca="1" si="7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>
      <c r="B18" s="492"/>
      <c r="C18" s="495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" ca="1" si="8">IF(OR(D18="MDU",D18="MDU-KD"),(IF($O$3="RAB NON MDU","PLN KD",G18*F18)),0)</f>
        <v>0</v>
      </c>
      <c r="I18" s="361">
        <f t="shared" ref="I18" ca="1" si="9">IF(D18="HDW",G18*F18,0)</f>
        <v>0</v>
      </c>
      <c r="J18" s="361">
        <f t="shared" ref="J18" ca="1" si="10">IF(D18="JASA",G18*F18,0)</f>
        <v>0</v>
      </c>
      <c r="K18" s="362">
        <f t="shared" ref="K18" ca="1" si="11">SUM(H18:J18)</f>
        <v>0</v>
      </c>
    </row>
    <row r="19" spans="1:22">
      <c r="B19" s="366" t="s">
        <v>1608</v>
      </c>
      <c r="C19" s="367" t="s">
        <v>1614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ref="H19:H20" ca="1" si="12">IF(OR(D19="MDU",D19="MDU-KD"),(IF($O$3="RAB NON MDU","PLN KD",G19*F19)),0)</f>
        <v>0</v>
      </c>
      <c r="I19" s="361">
        <f t="shared" ref="I19:I20" ca="1" si="13">IF(D19="HDW",G19*F19,0)</f>
        <v>0</v>
      </c>
      <c r="J19" s="361">
        <f t="shared" ref="J19:J20" ca="1" si="14">IF(D19="JASA",G19*F19,0)</f>
        <v>0</v>
      </c>
      <c r="K19" s="362">
        <f t="shared" ref="K19:K20" ca="1" si="15">SUM(H19:J19)</f>
        <v>0</v>
      </c>
    </row>
    <row r="20" spans="1:22">
      <c r="B20" s="366"/>
      <c r="C20" s="367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12"/>
        <v>0</v>
      </c>
      <c r="I20" s="361">
        <f t="shared" ca="1" si="13"/>
        <v>0</v>
      </c>
      <c r="J20" s="361">
        <f t="shared" ca="1" si="14"/>
        <v>0</v>
      </c>
      <c r="K20" s="362">
        <f t="shared" ca="1" si="15"/>
        <v>0</v>
      </c>
    </row>
    <row r="21" spans="1:22">
      <c r="B21" s="493" t="s">
        <v>1609</v>
      </c>
      <c r="C21" s="496" t="s">
        <v>1611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" ca="1" si="16">IF(OR(D21="MDU",D21="MDU-KD"),(IF($O$3="RAB NON MDU","PLN KD",G21*F21)),0)</f>
        <v>0</v>
      </c>
      <c r="I21" s="361">
        <f t="shared" ref="I21" ca="1" si="17">IF(D21="HDW",G21*F21,0)</f>
        <v>0</v>
      </c>
      <c r="J21" s="361">
        <f t="shared" ref="J21" ca="1" si="18">IF(D21="JASA",G21*F21,0)</f>
        <v>0</v>
      </c>
      <c r="K21" s="362">
        <f t="shared" ref="K21" ca="1" si="19">SUM(H21:J21)</f>
        <v>0</v>
      </c>
    </row>
    <row r="22" spans="1:22">
      <c r="B22" s="493" t="s">
        <v>1035</v>
      </c>
      <c r="C22" s="494" t="s">
        <v>1615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499">
        <v>1</v>
      </c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27" ca="1" si="20">IF(OR(D22="MDU",D22="MDU-KD"),(IF($O$3="RAB NON MDU","PLN KD",G22*F22)),0)</f>
        <v>0</v>
      </c>
      <c r="I22" s="361">
        <f t="shared" ref="I22:I27" ca="1" si="21">IF(D22="HDW",G22*F22,0)</f>
        <v>0</v>
      </c>
      <c r="J22" s="361">
        <f t="shared" ref="J22:J27" ca="1" si="22">IF(D22="JASA",G22*F22,0)</f>
        <v>0</v>
      </c>
      <c r="K22" s="362">
        <f t="shared" ref="K22:K27" ca="1" si="23">SUM(H22:J22)</f>
        <v>0</v>
      </c>
    </row>
    <row r="23" spans="1:22" ht="30">
      <c r="B23" s="500">
        <v>1</v>
      </c>
      <c r="C23" s="109" t="s">
        <v>1196</v>
      </c>
      <c r="D23" s="358" t="s">
        <v>1613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499">
        <f>F22*1</f>
        <v>1</v>
      </c>
      <c r="G23" s="360">
        <f ca="1">IF(ISERROR(OFFSET('HARGA SATUAN'!$I$6,MATCH(RAB!C23,'HARGA SATUAN'!$C$7:$C$1492,0),0)),0,OFFSET('HARGA SATUAN'!$I$6,MATCH(RAB!C23,'HARGA SATUAN'!$C$7:$C$1492,0),0))</f>
        <v>1504200</v>
      </c>
      <c r="H23" s="361">
        <f t="shared" si="20"/>
        <v>0</v>
      </c>
      <c r="I23" s="361">
        <f t="shared" si="21"/>
        <v>0</v>
      </c>
      <c r="J23" s="361">
        <f t="shared" si="22"/>
        <v>0</v>
      </c>
      <c r="K23" s="362">
        <f t="shared" si="23"/>
        <v>0</v>
      </c>
    </row>
    <row r="24" spans="1:22">
      <c r="B24" s="500">
        <v>2</v>
      </c>
      <c r="C24" s="501" t="s">
        <v>518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99">
        <f>F22*1</f>
        <v>1</v>
      </c>
      <c r="G24" s="360">
        <f ca="1">IF(ISERROR(OFFSET('HARGA SATUAN'!$I$6,MATCH(RAB!C24,'HARGA SATUAN'!$C$7:$C$1492,0),0)),0,OFFSET('HARGA SATUAN'!$I$6,MATCH(RAB!C24,'HARGA SATUAN'!$C$7:$C$1492,0),0))</f>
        <v>14217900</v>
      </c>
      <c r="H24" s="361">
        <f t="shared" ca="1" si="20"/>
        <v>14217900</v>
      </c>
      <c r="I24" s="361">
        <f t="shared" ca="1" si="21"/>
        <v>0</v>
      </c>
      <c r="J24" s="361">
        <f t="shared" ca="1" si="22"/>
        <v>0</v>
      </c>
      <c r="K24" s="362">
        <f t="shared" ca="1" si="23"/>
        <v>14217900</v>
      </c>
    </row>
    <row r="25" spans="1:22">
      <c r="B25" s="500">
        <v>3</v>
      </c>
      <c r="C25" s="501" t="s">
        <v>1142</v>
      </c>
      <c r="D25" s="358" t="s">
        <v>1613</v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499">
        <f>F22*1</f>
        <v>1</v>
      </c>
      <c r="G25" s="360">
        <f ca="1">IF(ISERROR(OFFSET('HARGA SATUAN'!$I$6,MATCH(RAB!C25,'HARGA SATUAN'!$C$7:$C$1492,0),0)),0,OFFSET('HARGA SATUAN'!$I$6,MATCH(RAB!C25,'HARGA SATUAN'!$C$7:$C$1492,0),0))</f>
        <v>1113900</v>
      </c>
      <c r="H25" s="361">
        <f t="shared" si="20"/>
        <v>0</v>
      </c>
      <c r="I25" s="361">
        <f t="shared" si="21"/>
        <v>0</v>
      </c>
      <c r="J25" s="361">
        <f t="shared" si="22"/>
        <v>0</v>
      </c>
      <c r="K25" s="362">
        <f t="shared" si="23"/>
        <v>0</v>
      </c>
    </row>
    <row r="26" spans="1:22">
      <c r="B26" s="500">
        <v>4</v>
      </c>
      <c r="C26" s="109" t="s">
        <v>80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499">
        <v>44</v>
      </c>
      <c r="G26" s="360">
        <f ca="1">IF(ISERROR(OFFSET('HARGA SATUAN'!$I$6,MATCH(RAB!C26,'HARGA SATUAN'!$C$7:$C$1492,0),0)),0,OFFSET('HARGA SATUAN'!$I$6,MATCH(RAB!C26,'HARGA SATUAN'!$C$7:$C$1492,0),0))</f>
        <v>94700</v>
      </c>
      <c r="H26" s="361">
        <f t="shared" ca="1" si="20"/>
        <v>4166800</v>
      </c>
      <c r="I26" s="361">
        <f t="shared" ca="1" si="21"/>
        <v>0</v>
      </c>
      <c r="J26" s="361">
        <f t="shared" ca="1" si="22"/>
        <v>0</v>
      </c>
      <c r="K26" s="362">
        <f t="shared" ca="1" si="23"/>
        <v>4166800</v>
      </c>
    </row>
    <row r="27" spans="1:22">
      <c r="B27" s="500">
        <v>5</v>
      </c>
      <c r="C27" s="501" t="s">
        <v>799</v>
      </c>
      <c r="D27" s="358" t="str">
        <f ca="1">IF(ISERROR(OFFSET('HARGA SATUAN'!$D$6,MATCH(RAB!C27,'HARGA SATUAN'!$C$7:$C$1492,0),0)),"",OFFSET('HARGA SATUAN'!$D$6,MATCH(RAB!C27,'HARGA SATUAN'!$C$7:$C$1492,0),0))</f>
        <v>JASA</v>
      </c>
      <c r="E27" s="359" t="str">
        <f ca="1">IF(B27="+","Unit",IF(ISERROR(OFFSET('HARGA SATUAN'!$E$6,MATCH(RAB!C27,'HARGA SATUAN'!$C$7:$C$1492,0),0)),"",OFFSET('HARGA SATUAN'!$E$6,MATCH(RAB!C27,'HARGA SATUAN'!$C$7:$C$1492,0),0)))</f>
        <v>Unit</v>
      </c>
      <c r="F27" s="499">
        <f>F22*1</f>
        <v>1</v>
      </c>
      <c r="G27" s="360">
        <f ca="1">IF(ISERROR(OFFSET('HARGA SATUAN'!$I$6,MATCH(RAB!C27,'HARGA SATUAN'!$C$7:$C$1492,0),0)),0,OFFSET('HARGA SATUAN'!$I$6,MATCH(RAB!C27,'HARGA SATUAN'!$C$7:$C$1492,0),0))</f>
        <v>106400</v>
      </c>
      <c r="H27" s="361">
        <f t="shared" ca="1" si="20"/>
        <v>0</v>
      </c>
      <c r="I27" s="361">
        <f t="shared" ca="1" si="21"/>
        <v>0</v>
      </c>
      <c r="J27" s="361">
        <f t="shared" ca="1" si="22"/>
        <v>106400</v>
      </c>
      <c r="K27" s="362">
        <f t="shared" ca="1" si="23"/>
        <v>106400</v>
      </c>
    </row>
    <row r="28" spans="1:22">
      <c r="B28" s="498">
        <v>6</v>
      </c>
      <c r="C28" s="501" t="s">
        <v>982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368">
        <v>1</v>
      </c>
      <c r="G28" s="360">
        <f ca="1">IF(ISERROR(OFFSET('HARGA SATUAN'!$I$6,MATCH(RAB!C28,'HARGA SATUAN'!$C$7:$C$1492,0),0)),0,OFFSET('HARGA SATUAN'!$I$6,MATCH(RAB!C28,'HARGA SATUAN'!$C$7:$C$1492,0),0))</f>
        <v>63840</v>
      </c>
      <c r="H28" s="361">
        <f t="shared" ref="H28" ca="1" si="24">IF(OR(D28="MDU",D28="MDU-KD"),(IF($O$3="RAB NON MDU","PLN KD",G28*F28)),0)</f>
        <v>0</v>
      </c>
      <c r="I28" s="361">
        <f t="shared" ref="I28" ca="1" si="25">IF(D28="HDW",G28*F28,0)</f>
        <v>0</v>
      </c>
      <c r="J28" s="361">
        <f t="shared" ref="J28" ca="1" si="26">IF(D28="JASA",G28*F28,0)</f>
        <v>63840</v>
      </c>
      <c r="K28" s="362">
        <f t="shared" ref="K28" ca="1" si="27">SUM(H28:J28)</f>
        <v>63840</v>
      </c>
    </row>
    <row r="29" spans="1:22">
      <c r="B29" s="498"/>
      <c r="C29" s="501"/>
      <c r="D29" s="358"/>
      <c r="E29" s="359"/>
      <c r="F29" s="368"/>
      <c r="G29" s="360"/>
      <c r="H29" s="361"/>
      <c r="I29" s="361"/>
      <c r="J29" s="361"/>
      <c r="K29" s="362"/>
    </row>
    <row r="30" spans="1:22">
      <c r="B30" s="366" t="s">
        <v>22</v>
      </c>
      <c r="C30" s="367" t="s">
        <v>1610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368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ref="H30:H31" ca="1" si="28">IF(OR(D30="MDU",D30="MDU-KD"),(IF($O$3="RAB NON MDU","PLN KD",G30*F30)),0)</f>
        <v>0</v>
      </c>
      <c r="I30" s="361">
        <f t="shared" ref="I30:I31" ca="1" si="29">IF(D30="HDW",G30*F30,0)</f>
        <v>0</v>
      </c>
      <c r="J30" s="361">
        <f t="shared" ref="J30:J31" ca="1" si="30">IF(D30="JASA",G30*F30,0)</f>
        <v>0</v>
      </c>
      <c r="K30" s="362">
        <f t="shared" ref="K30:K31" ca="1" si="31">SUM(H30:J30)</f>
        <v>0</v>
      </c>
    </row>
    <row r="31" spans="1:22">
      <c r="B31" s="373"/>
      <c r="C31" s="372"/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/>
      </c>
      <c r="F31" s="368"/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ca="1" si="28"/>
        <v>0</v>
      </c>
      <c r="I31" s="361">
        <f t="shared" ca="1" si="29"/>
        <v>0</v>
      </c>
      <c r="J31" s="361">
        <f t="shared" ca="1" si="30"/>
        <v>0</v>
      </c>
      <c r="K31" s="362">
        <f t="shared" ca="1" si="31"/>
        <v>0</v>
      </c>
    </row>
    <row r="32" spans="1:22">
      <c r="B32" s="374"/>
      <c r="C32" s="375" t="s">
        <v>475</v>
      </c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IF(B32="+","Unit",IF(ISERROR(OFFSET('HARGA SATUAN'!$E$6,MATCH(RAB!C32,'HARGA SATUAN'!$C$7:$C$1492,0),0)),"",OFFSET('HARGA SATUAN'!$E$6,MATCH(RAB!C32,'HARGA SATUAN'!$C$7:$C$1492,0),0)))</f>
        <v/>
      </c>
      <c r="F32" s="368"/>
      <c r="G32" s="360">
        <f ca="1">IF(ISERROR(OFFSET('HARGA SATUAN'!$I$6,MATCH(RAB!C32,'HARGA SATUAN'!$C$7:$C$1492,0),0)),0,OFFSET('HARGA SATUAN'!$I$6,MATCH(RAB!C32,'HARGA SATUAN'!$C$7:$C$1492,0),0))</f>
        <v>0</v>
      </c>
      <c r="H32" s="361">
        <f t="shared" ref="H32" ca="1" si="32">IF(OR(D32="MDU",D32="MDU-KD"),(IF($O$3="RAB NON MDU","PLN KD",G32*F32)),0)</f>
        <v>0</v>
      </c>
      <c r="I32" s="361">
        <f t="shared" ref="I32" ca="1" si="33">IF(D32="HDW",G32*F32,0)</f>
        <v>0</v>
      </c>
      <c r="J32" s="361">
        <f t="shared" ref="J32" ca="1" si="34">IF(D32="JASA",G32*F32,0)</f>
        <v>0</v>
      </c>
      <c r="K32" s="362">
        <f t="shared" ref="K32" ca="1" si="35">SUM(H32:J32)</f>
        <v>0</v>
      </c>
    </row>
    <row r="33" spans="2:13">
      <c r="B33" s="377">
        <v>1</v>
      </c>
      <c r="C33" s="378" t="s">
        <v>1091</v>
      </c>
      <c r="D33" s="379" t="str">
        <f ca="1">IF(ISERROR(OFFSET('HARGA SATUAN'!$D$6,MATCH(RAB!C33,'HARGA SATUAN'!$C$7:$C$1492,0),0)),"",OFFSET('HARGA SATUAN'!$D$6,MATCH(RAB!C33,'HARGA SATUAN'!$C$7:$C$1492,0),0))</f>
        <v>JASA</v>
      </c>
      <c r="E33" s="380" t="str">
        <f ca="1">IF(ISERROR(OFFSET('HARGA SATUAN'!$E$6,MATCH(RAB!C33,'HARGA SATUAN'!$C$7:$C$1492,0),0)),"",OFFSET('HARGA SATUAN'!$E$6,MATCH(RAB!C33,'HARGA SATUAN'!$C$7:$C$1492,0),0))</f>
        <v>Lot</v>
      </c>
      <c r="F33" s="381">
        <v>1</v>
      </c>
      <c r="G33" s="382">
        <f ca="1">IF(ISERROR(OFFSET('HARGA SATUAN'!$I$6,MATCH(RAB!C33,'HARGA SATUAN'!$C$7:$C$1492,0),0)),0,OFFSET('HARGA SATUAN'!$I$6,MATCH(RAB!C33,'HARGA SATUAN'!$C$7:$C$1492,0),0))</f>
        <v>2.5000000000000001E-2</v>
      </c>
      <c r="H33" s="383"/>
      <c r="I33" s="383"/>
      <c r="J33" s="383">
        <f ca="1">SUM(K15:K17)*G33</f>
        <v>0</v>
      </c>
      <c r="K33" s="384">
        <f ca="1">SUM(H33:J33)</f>
        <v>0</v>
      </c>
    </row>
    <row r="34" spans="2:13">
      <c r="B34" s="385"/>
      <c r="C34" s="386"/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IF(ISERROR(OFFSET('HARGA SATUAN'!$E$6,MATCH(RAB!C34,'HARGA SATUAN'!$C$7:$C$1492,0),0)),"",OFFSET('HARGA SATUAN'!$E$6,MATCH(RAB!C34,'HARGA SATUAN'!$C$7:$C$1492,0),0))</f>
        <v/>
      </c>
      <c r="F34" s="376"/>
      <c r="G34" s="360" t="str">
        <f ca="1">IF(ISERROR(OFFSET('HARGA SATUAN'!$I$6,MATCH(RAB!C34,'HARGA SATUAN'!$C$7:$C$1492,0),0)),"",OFFSET('HARGA SATUAN'!$I$6,MATCH(RAB!C34,'HARGA SATUAN'!$C$7:$C$1492,0),0))</f>
        <v/>
      </c>
      <c r="H34" s="361">
        <f ca="1">IF(OR(D34="MDU",D34="MDU-KD"),IF(G34="PLN",0,G34*F34),0)</f>
        <v>0</v>
      </c>
      <c r="I34" s="361">
        <f ca="1">IF(D34="HDW",IF(G34="PLN",0,G34*F34),0)</f>
        <v>0</v>
      </c>
      <c r="J34" s="361">
        <f ca="1">IF(D34="JASA",IF(G34="PLN",0,G34*F34),0)</f>
        <v>0</v>
      </c>
      <c r="K34" s="362">
        <f ca="1">SUM(H34:J34)</f>
        <v>0</v>
      </c>
    </row>
    <row r="35" spans="2:13" ht="15.75" thickBot="1">
      <c r="B35" s="387"/>
      <c r="C35" s="388"/>
      <c r="D35" s="389"/>
      <c r="E35" s="390"/>
      <c r="F35" s="390"/>
      <c r="G35" s="390"/>
      <c r="H35" s="391"/>
      <c r="I35" s="391"/>
      <c r="J35" s="391"/>
      <c r="K35" s="392"/>
    </row>
    <row r="36" spans="2:13">
      <c r="B36" s="393"/>
      <c r="C36" s="602" t="s">
        <v>1008</v>
      </c>
      <c r="D36" s="602"/>
      <c r="E36" s="602"/>
      <c r="F36" s="602"/>
      <c r="G36" s="394" t="s">
        <v>9</v>
      </c>
      <c r="H36" s="395">
        <f ca="1">SUM(H14:H34)</f>
        <v>18384700</v>
      </c>
      <c r="I36" s="395">
        <f ca="1">SUM(I14:I34)</f>
        <v>0</v>
      </c>
      <c r="J36" s="395">
        <f ca="1">SUM(J14:J34)</f>
        <v>170240</v>
      </c>
      <c r="K36" s="395">
        <f ca="1">SUM(K14:K34)</f>
        <v>18554940</v>
      </c>
    </row>
    <row r="37" spans="2:13">
      <c r="B37" s="396"/>
      <c r="C37" s="618" t="s">
        <v>1457</v>
      </c>
      <c r="D37" s="618"/>
      <c r="E37" s="618"/>
      <c r="F37" s="618"/>
      <c r="G37" s="397" t="s">
        <v>9</v>
      </c>
      <c r="H37" s="398">
        <f ca="1">H36*0.11</f>
        <v>2022317</v>
      </c>
      <c r="I37" s="398">
        <f ca="1">I36*0.11</f>
        <v>0</v>
      </c>
      <c r="J37" s="398">
        <f ca="1">J36*0.11</f>
        <v>18726.400000000001</v>
      </c>
      <c r="K37" s="398">
        <f ca="1">K36*0.11</f>
        <v>2041043.4</v>
      </c>
    </row>
    <row r="38" spans="2:13" ht="15.75" thickBot="1">
      <c r="B38" s="396"/>
      <c r="C38" s="616" t="s">
        <v>463</v>
      </c>
      <c r="D38" s="616"/>
      <c r="E38" s="616"/>
      <c r="F38" s="616"/>
      <c r="G38" s="399" t="s">
        <v>9</v>
      </c>
      <c r="H38" s="400">
        <f ca="1">SUM(H36:H37)</f>
        <v>20407017</v>
      </c>
      <c r="I38" s="400">
        <f ca="1">SUM(I36:I37)</f>
        <v>0</v>
      </c>
      <c r="J38" s="399">
        <f ca="1">SUM(J36:J37)</f>
        <v>188966.39999999999</v>
      </c>
      <c r="K38" s="399">
        <f ca="1">SUM(K36:K37)</f>
        <v>20595983.399999999</v>
      </c>
      <c r="M38" s="482"/>
    </row>
    <row r="39" spans="2:13">
      <c r="B39" s="619" t="str">
        <f ca="1">"Terbilang : "&amp;PROPER(IF(K38=0,"nol",IF(K38&lt;0,"minus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IF(--MID(TEXT(ABS(K38),"000000000000000"),1,3)=0,"",MID(TEXT(ABS(K38),"000000000000000"),1,1)&amp;" ratus "&amp;MID(TEXT(ABS(K38),"000000000000000"),2,1)&amp;" puluh "&amp;MID(TEXT(ABS(K38),"000000000000000"),3,1)&amp;" trilyun ")&amp; IF(--MID(TEXT(ABS(K38),"000000000000000"),4,3)=0,"",MID(TEXT(ABS(K38),"000000000000000"),4,1)&amp;" ratus "&amp;MID(TEXT(ABS(K38),"000000000000000"),5,1)&amp;" puluh "&amp;MID(TEXT(ABS(K38),"000000000000000"),6,1)&amp;" milyar ")&amp; IF(--MID(TEXT(ABS(K38),"000000000000000"),7,3)=0,"",MID(TEXT(ABS(K38),"000000000000000"),7,1)&amp;" ratus "&amp;MID(TEXT(ABS(K38),"000000000000000"),8,1)&amp;" puluh "&amp;MID(TEXT(ABS(K38),"000000000000000"),9,1)&amp;" juta ")&amp; IF(--MID(TEXT(ABS(K38),"000000000000000"),10,3)=0,"",IF(--MID(TEXT(ABS(K38),"000000000000000"),10,3)=1,"*",MID(TEXT(ABS(K38),"000000000000000"),10,1)&amp;" ratus "&amp;MID(TEXT(ABS(K38),"000000000000000"),11,1)&amp;" puluh ")&amp;MID(TEXT(ABS(K38),"000000000000000"),12,1)&amp;" ribu ")&amp; IF(--MID(TEXT(ABS(K38),"000000000000000"),13,3)=0,"",MID(TEXT(ABS(K38),"000000000000000"),13,1)&amp;" ratus "&amp;MID(TEXT(ABS(K38),"000000000000000"),14,1)&amp;" puluh "&amp;MID(TEXT(ABS(K38),"000000000000000"),15,1)),1,"satu"),2,"dua"),3,"tiga"),4,"empat"),5,"lima"),6,"enam"),7,"tujuh"),8,"delapan"),9,"sembilan"),"0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Juta Lima Ratus Sembilan Puluh Lima Ribu Sembilan Ratus Delapan Puluh Tiga Rupiah</v>
      </c>
      <c r="C39" s="620"/>
      <c r="D39" s="620"/>
      <c r="E39" s="620"/>
      <c r="F39" s="620"/>
      <c r="G39" s="620"/>
      <c r="H39" s="620"/>
      <c r="I39" s="620"/>
      <c r="J39" s="620"/>
      <c r="K39" s="621"/>
    </row>
    <row r="40" spans="2:13">
      <c r="B40" s="622"/>
      <c r="C40" s="623"/>
      <c r="D40" s="623"/>
      <c r="E40" s="623"/>
      <c r="F40" s="623"/>
      <c r="G40" s="623"/>
      <c r="H40" s="623"/>
      <c r="I40" s="623"/>
      <c r="J40" s="623"/>
      <c r="K40" s="624"/>
    </row>
    <row r="41" spans="2:13" ht="15.75" thickBot="1">
      <c r="B41" s="401" t="str">
        <f>"Harga yang dipakai adalah "&amp;'HARGA SATUAN'!I5&amp;""</f>
        <v>Harga yang dipakai adalah RAB HSS 2023</v>
      </c>
      <c r="C41" s="402"/>
      <c r="D41" s="403"/>
      <c r="E41" s="403"/>
      <c r="F41" s="403"/>
      <c r="G41" s="404"/>
      <c r="H41" s="404"/>
      <c r="I41" s="404"/>
      <c r="J41" s="404"/>
      <c r="K41" s="405"/>
    </row>
    <row r="42" spans="2:13">
      <c r="C42" s="406"/>
      <c r="E42" s="408"/>
      <c r="F42" s="408"/>
      <c r="G42" s="408"/>
    </row>
    <row r="43" spans="2:13">
      <c r="C43" s="337"/>
      <c r="E43" s="408"/>
      <c r="F43" s="408"/>
      <c r="G43" s="408"/>
      <c r="H43" s="625"/>
      <c r="I43" s="625"/>
      <c r="J43" s="626"/>
      <c r="K43" s="626"/>
    </row>
    <row r="44" spans="2:13">
      <c r="C44" s="337"/>
      <c r="E44" s="408"/>
      <c r="F44" s="408"/>
      <c r="G44" s="408"/>
      <c r="H44" s="409"/>
      <c r="I44" s="615" t="s">
        <v>1623</v>
      </c>
      <c r="J44" s="615"/>
      <c r="K44" s="615"/>
    </row>
    <row r="45" spans="2:13">
      <c r="C45" s="337"/>
      <c r="E45" s="408"/>
      <c r="F45" s="408"/>
      <c r="G45" s="408"/>
      <c r="H45" s="409"/>
      <c r="I45" s="615" t="s">
        <v>1624</v>
      </c>
      <c r="J45" s="615"/>
      <c r="K45" s="615"/>
    </row>
    <row r="46" spans="2:13">
      <c r="C46" s="337"/>
      <c r="E46" s="408"/>
      <c r="F46" s="408"/>
      <c r="G46" s="408"/>
      <c r="H46" s="410"/>
      <c r="I46" s="411"/>
      <c r="J46" s="411"/>
      <c r="K46" s="411"/>
    </row>
    <row r="47" spans="2:13">
      <c r="C47" s="337"/>
      <c r="E47" s="408"/>
      <c r="F47" s="408"/>
      <c r="G47" s="408"/>
      <c r="H47" s="410"/>
      <c r="I47" s="410"/>
      <c r="J47" s="410"/>
      <c r="K47" s="410"/>
    </row>
    <row r="48" spans="2:13">
      <c r="C48" s="337"/>
      <c r="E48" s="408"/>
      <c r="F48" s="408"/>
      <c r="G48" s="408"/>
      <c r="H48" s="410"/>
      <c r="I48" s="410"/>
      <c r="J48" s="410"/>
      <c r="K48" s="410"/>
    </row>
    <row r="49" spans="3:11">
      <c r="C49" s="337"/>
      <c r="E49" s="408"/>
      <c r="F49" s="408"/>
      <c r="G49" s="408"/>
      <c r="H49" s="410"/>
      <c r="I49" s="410"/>
      <c r="J49" s="410"/>
      <c r="K49" s="410"/>
    </row>
    <row r="50" spans="3:11">
      <c r="C50" s="337"/>
      <c r="E50" s="408"/>
      <c r="F50" s="408"/>
      <c r="G50" s="408"/>
      <c r="H50" s="412"/>
      <c r="I50" s="615" t="s">
        <v>1625</v>
      </c>
      <c r="J50" s="615"/>
      <c r="K50" s="615"/>
    </row>
    <row r="51" spans="3:11">
      <c r="C51" s="406"/>
      <c r="E51" s="408"/>
      <c r="F51" s="408"/>
      <c r="G51" s="408"/>
      <c r="H51" s="410"/>
      <c r="I51" s="410"/>
      <c r="J51" s="410"/>
      <c r="K51" s="410"/>
    </row>
    <row r="52" spans="3:11">
      <c r="C52" s="406"/>
      <c r="E52" s="408"/>
      <c r="F52" s="408"/>
      <c r="G52" s="408"/>
      <c r="H52" s="410"/>
      <c r="I52" s="410"/>
      <c r="J52" s="410"/>
      <c r="K52" s="410"/>
    </row>
    <row r="53" spans="3:11">
      <c r="C53" s="406"/>
      <c r="E53" s="408"/>
      <c r="F53" s="408"/>
      <c r="G53" s="408"/>
      <c r="H53" s="410"/>
      <c r="I53" s="410"/>
      <c r="J53" s="410"/>
      <c r="K53" s="410"/>
    </row>
  </sheetData>
  <sheetProtection sort="0" autoFilter="0"/>
  <protectedRanges>
    <protectedRange sqref="B31 B22:B29" name="Range1_1"/>
    <protectedRange sqref="F14:F32" name="Range1_1_2_2"/>
    <protectedRange sqref="C31 C22:C25" name="Range1_1_1"/>
    <protectedRange sqref="C27:C29" name="Range1_1_3_2"/>
    <protectedRange sqref="C16" name="Range1_1_3"/>
    <protectedRange sqref="C26" name="Range1_1_3_3"/>
  </protectedRanges>
  <mergeCells count="22">
    <mergeCell ref="I45:K45"/>
    <mergeCell ref="I50:K50"/>
    <mergeCell ref="C38:F38"/>
    <mergeCell ref="G6:K6"/>
    <mergeCell ref="I44:K44"/>
    <mergeCell ref="C37:F37"/>
    <mergeCell ref="B39:K40"/>
    <mergeCell ref="H43:K43"/>
    <mergeCell ref="H11:K11"/>
    <mergeCell ref="H12:H13"/>
    <mergeCell ref="J12:J13"/>
    <mergeCell ref="K12:K13"/>
    <mergeCell ref="O3:P4"/>
    <mergeCell ref="B4:K4"/>
    <mergeCell ref="C36:F36"/>
    <mergeCell ref="B11:B13"/>
    <mergeCell ref="C11:C13"/>
    <mergeCell ref="D11:D13"/>
    <mergeCell ref="E11:E13"/>
    <mergeCell ref="F11:F13"/>
    <mergeCell ref="G11:G13"/>
    <mergeCell ref="I12:I13"/>
  </mergeCells>
  <phoneticPr fontId="136" type="noConversion"/>
  <conditionalFormatting sqref="C15:C17 C19:C20">
    <cfRule type="cellIs" dxfId="6" priority="44" operator="equal">
      <formula>0</formula>
    </cfRule>
  </conditionalFormatting>
  <conditionalFormatting sqref="C30">
    <cfRule type="cellIs" dxfId="5" priority="38" operator="equal">
      <formula>0</formula>
    </cfRule>
  </conditionalFormatting>
  <conditionalFormatting sqref="E1:E3 G1:G13 E5:E13 H12:I12 O13 E33:G33 H33:K35 E34:H34 E35:F35 E14:K32">
    <cfRule type="cellIs" dxfId="4" priority="1087" stopIfTrue="1" operator="equal">
      <formula>0</formula>
    </cfRule>
  </conditionalFormatting>
  <conditionalFormatting sqref="G34:G65500 E39:E65500">
    <cfRule type="cellIs" dxfId="3" priority="221" stopIfTrue="1" operator="equal">
      <formula>0</formula>
    </cfRule>
  </conditionalFormatting>
  <conditionalFormatting sqref="S14:V17">
    <cfRule type="cellIs" dxfId="2" priority="17" stopIfTrue="1" operator="equal">
      <formula>0</formula>
    </cfRule>
  </conditionalFormatting>
  <conditionalFormatting sqref="C23">
    <cfRule type="cellIs" dxfId="1" priority="2" operator="equal">
      <formula>0</formula>
    </cfRule>
  </conditionalFormatting>
  <conditionalFormatting sqref="C26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H14:K3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40" zoomScale="115" zoomScaleNormal="115" zoomScaleSheetLayoutView="115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29" t="s">
        <v>1439</v>
      </c>
      <c r="X2" s="630"/>
      <c r="Y2" s="630"/>
      <c r="Z2" s="630"/>
      <c r="AA2" s="630"/>
      <c r="AB2" s="630"/>
      <c r="AC2" s="630"/>
      <c r="AD2" s="631"/>
    </row>
    <row r="3" spans="3:30">
      <c r="C3" s="238"/>
      <c r="W3" s="632"/>
      <c r="X3" s="633"/>
      <c r="Y3" s="633"/>
      <c r="Z3" s="633"/>
      <c r="AA3" s="633"/>
      <c r="AB3" s="633"/>
      <c r="AC3" s="633"/>
      <c r="AD3" s="634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35" t="s">
        <v>990</v>
      </c>
      <c r="Y5" s="635"/>
      <c r="Z5" s="635"/>
      <c r="AA5" s="635" t="s">
        <v>988</v>
      </c>
      <c r="AB5" s="635"/>
      <c r="AC5" s="635" t="s">
        <v>989</v>
      </c>
      <c r="AD5" s="636"/>
    </row>
    <row r="6" spans="3:30">
      <c r="C6" s="238"/>
      <c r="W6" s="241">
        <v>1</v>
      </c>
      <c r="X6" s="635" t="s">
        <v>993</v>
      </c>
      <c r="Y6" s="635"/>
      <c r="Z6" s="635"/>
      <c r="AA6" s="635"/>
      <c r="AB6" s="635"/>
      <c r="AC6" s="635"/>
      <c r="AD6" s="636"/>
    </row>
    <row r="7" spans="3:30">
      <c r="C7" s="238"/>
      <c r="E7" s="488" t="s">
        <v>1618</v>
      </c>
      <c r="W7" s="241">
        <v>2</v>
      </c>
      <c r="X7" s="635" t="s">
        <v>994</v>
      </c>
      <c r="Y7" s="635"/>
      <c r="Z7" s="635"/>
      <c r="AA7" s="635"/>
      <c r="AB7" s="635"/>
      <c r="AC7" s="635"/>
      <c r="AD7" s="636"/>
    </row>
    <row r="8" spans="3:30">
      <c r="C8" s="238"/>
      <c r="W8" s="241">
        <v>3</v>
      </c>
      <c r="X8" s="635" t="s">
        <v>995</v>
      </c>
      <c r="Y8" s="635"/>
      <c r="Z8" s="635"/>
      <c r="AA8" s="635"/>
      <c r="AB8" s="635"/>
      <c r="AC8" s="635"/>
      <c r="AD8" s="636"/>
    </row>
    <row r="9" spans="3:30">
      <c r="C9" s="238"/>
      <c r="W9" s="241">
        <v>4</v>
      </c>
      <c r="X9" s="635" t="s">
        <v>996</v>
      </c>
      <c r="Y9" s="635"/>
      <c r="Z9" s="635"/>
      <c r="AA9" s="635"/>
      <c r="AB9" s="635"/>
      <c r="AC9" s="635"/>
      <c r="AD9" s="636"/>
    </row>
    <row r="10" spans="3:30">
      <c r="C10" s="238"/>
      <c r="W10" s="241">
        <v>5</v>
      </c>
      <c r="X10" s="635" t="s">
        <v>997</v>
      </c>
      <c r="Y10" s="635"/>
      <c r="Z10" s="635"/>
      <c r="AA10" s="635"/>
      <c r="AB10" s="635"/>
      <c r="AC10" s="635"/>
      <c r="AD10" s="636"/>
    </row>
    <row r="11" spans="3:30">
      <c r="C11" s="238"/>
      <c r="W11" s="241">
        <v>6</v>
      </c>
      <c r="X11" s="635" t="s">
        <v>998</v>
      </c>
      <c r="Y11" s="635"/>
      <c r="Z11" s="635"/>
      <c r="AA11" s="635"/>
      <c r="AB11" s="635"/>
      <c r="AC11" s="635"/>
      <c r="AD11" s="636"/>
    </row>
    <row r="12" spans="3:30">
      <c r="C12" s="238"/>
      <c r="W12" s="241">
        <v>7</v>
      </c>
      <c r="X12" s="635" t="s">
        <v>999</v>
      </c>
      <c r="Y12" s="635"/>
      <c r="Z12" s="635"/>
      <c r="AA12" s="635"/>
      <c r="AB12" s="635"/>
      <c r="AC12" s="635"/>
      <c r="AD12" s="636"/>
    </row>
    <row r="13" spans="3:30" ht="12.75" customHeight="1">
      <c r="C13" s="238"/>
      <c r="W13" s="241">
        <v>8</v>
      </c>
      <c r="X13" s="635" t="s">
        <v>1000</v>
      </c>
      <c r="Y13" s="635"/>
      <c r="Z13" s="635"/>
      <c r="AA13" s="635"/>
      <c r="AB13" s="635"/>
      <c r="AC13" s="635"/>
      <c r="AD13" s="636"/>
    </row>
    <row r="14" spans="3:30">
      <c r="C14" s="238"/>
      <c r="W14" s="241">
        <v>9</v>
      </c>
      <c r="X14" s="635" t="s">
        <v>1001</v>
      </c>
      <c r="Y14" s="635"/>
      <c r="Z14" s="635"/>
      <c r="AA14" s="635"/>
      <c r="AB14" s="635"/>
      <c r="AC14" s="635"/>
      <c r="AD14" s="636"/>
    </row>
    <row r="15" spans="3:30">
      <c r="C15" s="238"/>
      <c r="W15" s="241">
        <v>10</v>
      </c>
      <c r="X15" s="635" t="s">
        <v>1010</v>
      </c>
      <c r="Y15" s="635"/>
      <c r="Z15" s="635"/>
      <c r="AA15" s="635"/>
      <c r="AB15" s="635"/>
      <c r="AC15" s="635"/>
      <c r="AD15" s="636"/>
    </row>
    <row r="16" spans="3:30">
      <c r="C16" s="238"/>
      <c r="W16" s="241">
        <v>11</v>
      </c>
      <c r="X16" s="635" t="s">
        <v>1455</v>
      </c>
      <c r="Y16" s="635"/>
      <c r="Z16" s="635"/>
      <c r="AA16" s="635"/>
      <c r="AB16" s="635"/>
      <c r="AC16" s="635"/>
      <c r="AD16" s="636"/>
    </row>
    <row r="17" spans="3:30">
      <c r="C17" s="238"/>
      <c r="S17" s="242"/>
      <c r="W17" s="241">
        <v>12</v>
      </c>
      <c r="X17" s="635" t="s">
        <v>1011</v>
      </c>
      <c r="Y17" s="635"/>
      <c r="Z17" s="635"/>
      <c r="AA17" s="635"/>
      <c r="AB17" s="635"/>
      <c r="AC17" s="635"/>
      <c r="AD17" s="636"/>
    </row>
    <row r="18" spans="3:30">
      <c r="C18" s="243"/>
      <c r="D18" s="244"/>
      <c r="E18" s="244"/>
      <c r="W18" s="241">
        <v>13</v>
      </c>
      <c r="X18" s="635"/>
      <c r="Y18" s="635"/>
      <c r="Z18" s="635"/>
      <c r="AA18" s="635"/>
      <c r="AB18" s="635"/>
      <c r="AC18" s="635"/>
      <c r="AD18" s="636"/>
    </row>
    <row r="19" spans="3:30">
      <c r="C19" s="238"/>
      <c r="W19" s="245"/>
      <c r="X19" s="652"/>
      <c r="Y19" s="652"/>
      <c r="Z19" s="652"/>
      <c r="AA19" s="652"/>
      <c r="AB19" s="652"/>
      <c r="AC19" s="652"/>
      <c r="AD19" s="653"/>
    </row>
    <row r="20" spans="3:30">
      <c r="C20" s="238"/>
      <c r="W20" s="637" t="s">
        <v>992</v>
      </c>
      <c r="X20" s="638"/>
      <c r="Y20" s="638"/>
      <c r="Z20" s="638"/>
      <c r="AA20" s="638"/>
      <c r="AB20" s="638"/>
      <c r="AC20" s="638"/>
      <c r="AD20" s="639"/>
    </row>
    <row r="21" spans="3:30">
      <c r="C21" s="238"/>
      <c r="W21" s="640" t="s">
        <v>985</v>
      </c>
      <c r="X21" s="641"/>
      <c r="Y21" s="641"/>
      <c r="Z21" s="642"/>
      <c r="AA21" s="643" t="s">
        <v>986</v>
      </c>
      <c r="AB21" s="644"/>
      <c r="AC21" s="644"/>
      <c r="AD21" s="645"/>
    </row>
    <row r="22" spans="3:30">
      <c r="C22" s="238"/>
      <c r="W22" s="646"/>
      <c r="X22" s="647"/>
      <c r="Y22" s="490"/>
      <c r="Z22" s="491"/>
      <c r="AA22" s="648"/>
      <c r="AB22" s="649"/>
      <c r="AC22" s="248"/>
      <c r="AD22" s="249"/>
    </row>
    <row r="23" spans="3:30">
      <c r="C23" s="238"/>
      <c r="W23" s="646"/>
      <c r="X23" s="647"/>
      <c r="Y23" s="490"/>
      <c r="Z23" s="491"/>
      <c r="AA23" s="650"/>
      <c r="AB23" s="651"/>
      <c r="AC23" s="248"/>
      <c r="AD23" s="249"/>
    </row>
    <row r="24" spans="3:30">
      <c r="C24" s="238"/>
      <c r="W24" s="656"/>
      <c r="X24" s="657"/>
      <c r="Y24" s="246"/>
      <c r="Z24" s="247"/>
      <c r="AA24" s="658"/>
      <c r="AB24" s="659"/>
      <c r="AC24" s="248"/>
      <c r="AD24" s="249"/>
    </row>
    <row r="25" spans="3:30">
      <c r="C25" s="238"/>
      <c r="W25" s="656"/>
      <c r="X25" s="657"/>
      <c r="Y25" s="246"/>
      <c r="Z25" s="247"/>
      <c r="AA25" s="650"/>
      <c r="AB25" s="651"/>
      <c r="AC25" s="248"/>
      <c r="AD25" s="249"/>
    </row>
    <row r="26" spans="3:30">
      <c r="C26" s="238"/>
      <c r="W26" s="478"/>
      <c r="X26" s="479"/>
      <c r="Y26" s="246"/>
      <c r="Z26" s="247"/>
      <c r="AA26" s="650"/>
      <c r="AB26" s="651"/>
      <c r="AC26" s="248"/>
      <c r="AD26" s="249"/>
    </row>
    <row r="27" spans="3:30">
      <c r="C27" s="238"/>
      <c r="W27" s="478"/>
      <c r="X27" s="479"/>
      <c r="Y27" s="246"/>
      <c r="Z27" s="247"/>
      <c r="AA27" s="654"/>
      <c r="AB27" s="655"/>
      <c r="AC27" s="248"/>
      <c r="AD27" s="249"/>
    </row>
    <row r="28" spans="3:30">
      <c r="C28" s="238"/>
      <c r="W28" s="478"/>
      <c r="X28" s="479"/>
      <c r="Y28" s="246"/>
      <c r="Z28" s="247"/>
      <c r="AA28" s="654"/>
      <c r="AB28" s="655"/>
      <c r="AC28" s="248"/>
      <c r="AD28" s="249"/>
    </row>
    <row r="29" spans="3:30">
      <c r="C29" s="238"/>
      <c r="W29" s="478"/>
      <c r="X29" s="479"/>
      <c r="Y29" s="246"/>
      <c r="Z29" s="247"/>
      <c r="AA29" s="654"/>
      <c r="AB29" s="655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54"/>
      <c r="AB30" s="655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54"/>
      <c r="AB31" s="655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54"/>
      <c r="AB32" s="655"/>
      <c r="AC32" s="248"/>
      <c r="AD32" s="249"/>
    </row>
    <row r="33" spans="3:30">
      <c r="C33" s="238"/>
      <c r="W33" s="478"/>
      <c r="X33" s="479"/>
      <c r="Y33" s="246"/>
      <c r="Z33" s="247"/>
      <c r="AA33" s="654"/>
      <c r="AB33" s="655"/>
      <c r="AC33" s="248"/>
      <c r="AD33" s="249"/>
    </row>
    <row r="34" spans="3:30">
      <c r="C34" s="238"/>
      <c r="W34" s="478"/>
      <c r="X34" s="479"/>
      <c r="Y34" s="246"/>
      <c r="Z34" s="247"/>
      <c r="AA34" s="654"/>
      <c r="AB34" s="655"/>
      <c r="AC34" s="248"/>
      <c r="AD34" s="249"/>
    </row>
    <row r="35" spans="3:30">
      <c r="C35" s="238"/>
      <c r="W35" s="656"/>
      <c r="X35" s="669"/>
      <c r="Y35" s="246"/>
      <c r="Z35" s="247"/>
      <c r="AA35" s="654"/>
      <c r="AB35" s="655"/>
      <c r="AC35" s="248"/>
      <c r="AD35" s="249"/>
    </row>
    <row r="36" spans="3:30">
      <c r="C36" s="238"/>
      <c r="J36" s="497"/>
      <c r="W36" s="660"/>
      <c r="X36" s="661"/>
      <c r="Y36" s="246"/>
      <c r="Z36" s="251"/>
      <c r="AA36" s="662"/>
      <c r="AB36" s="655"/>
      <c r="AC36" s="248"/>
      <c r="AD36" s="249"/>
    </row>
    <row r="37" spans="3:30" ht="12.75" customHeight="1">
      <c r="C37" s="238"/>
      <c r="J37" s="497"/>
      <c r="W37" s="663"/>
      <c r="X37" s="664"/>
      <c r="Y37" s="246"/>
      <c r="Z37" s="251"/>
      <c r="AA37" s="665"/>
      <c r="AB37" s="666"/>
      <c r="AC37" s="252"/>
      <c r="AD37" s="253"/>
    </row>
    <row r="38" spans="3:30" ht="12.75" customHeight="1">
      <c r="C38" s="238"/>
      <c r="J38" s="497"/>
      <c r="W38" s="663"/>
      <c r="X38" s="664"/>
      <c r="Y38" s="254"/>
      <c r="Z38" s="251"/>
      <c r="AA38" s="255"/>
      <c r="AB38" s="256"/>
      <c r="AC38" s="252"/>
      <c r="AD38" s="253"/>
    </row>
    <row r="39" spans="3:30" ht="12" customHeight="1">
      <c r="C39" s="238"/>
      <c r="J39" s="497"/>
      <c r="W39" s="663"/>
      <c r="X39" s="664"/>
      <c r="Y39" s="254"/>
      <c r="Z39" s="257"/>
      <c r="AA39" s="667"/>
      <c r="AB39" s="668"/>
      <c r="AC39" s="252"/>
      <c r="AD39" s="253"/>
    </row>
    <row r="40" spans="3:30" ht="12" customHeight="1">
      <c r="C40" s="238"/>
      <c r="J40" s="497"/>
      <c r="W40" s="673"/>
      <c r="X40" s="674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75"/>
      <c r="X41" s="676"/>
      <c r="Y41" s="260"/>
      <c r="Z41" s="261"/>
      <c r="AA41" s="667"/>
      <c r="AB41" s="668"/>
      <c r="AC41" s="252"/>
      <c r="AD41" s="253"/>
    </row>
    <row r="42" spans="3:30" ht="12" customHeight="1">
      <c r="C42" s="238"/>
      <c r="W42" s="677" t="s">
        <v>1456</v>
      </c>
      <c r="X42" s="678"/>
      <c r="Y42" s="678"/>
      <c r="Z42" s="678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70" t="s">
        <v>11</v>
      </c>
      <c r="X44" s="671"/>
      <c r="Y44" s="635"/>
      <c r="Z44" s="635"/>
      <c r="AA44" s="635"/>
      <c r="AB44" s="635"/>
      <c r="AC44" s="635"/>
      <c r="AD44" s="636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70" t="s">
        <v>984</v>
      </c>
      <c r="X45" s="671"/>
      <c r="Y45" s="635">
        <v>1</v>
      </c>
      <c r="Z45" s="635"/>
      <c r="AA45" s="635"/>
      <c r="AB45" s="635" t="s">
        <v>12</v>
      </c>
      <c r="AC45" s="635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70" t="s">
        <v>15</v>
      </c>
      <c r="X46" s="671"/>
      <c r="Y46" s="672"/>
      <c r="Z46" s="672"/>
      <c r="AA46" s="672"/>
      <c r="AB46" s="635" t="s">
        <v>16</v>
      </c>
      <c r="AC46" s="635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83" t="s">
        <v>17</v>
      </c>
      <c r="X47" s="683"/>
      <c r="Y47" s="683"/>
      <c r="Z47" s="683"/>
      <c r="AA47" s="683"/>
      <c r="AB47" s="683"/>
      <c r="AC47" s="683"/>
      <c r="AD47" s="684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85" t="str">
        <f>RAB!G6</f>
        <v>HJ KASMI</v>
      </c>
      <c r="X48" s="685"/>
      <c r="Y48" s="685"/>
      <c r="Z48" s="685"/>
      <c r="AA48" s="685"/>
      <c r="AB48" s="685"/>
      <c r="AC48" s="685"/>
      <c r="AD48" s="686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85"/>
      <c r="X49" s="685"/>
      <c r="Y49" s="685"/>
      <c r="Z49" s="685"/>
      <c r="AA49" s="685"/>
      <c r="AB49" s="685"/>
      <c r="AC49" s="685"/>
      <c r="AD49" s="686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85"/>
      <c r="X50" s="685"/>
      <c r="Y50" s="685"/>
      <c r="Z50" s="685"/>
      <c r="AA50" s="685"/>
      <c r="AB50" s="685"/>
      <c r="AC50" s="685"/>
      <c r="AD50" s="686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87"/>
      <c r="X51" s="687"/>
      <c r="Y51" s="687"/>
      <c r="Z51" s="687"/>
      <c r="AA51" s="687"/>
      <c r="AB51" s="687"/>
      <c r="AC51" s="687"/>
      <c r="AD51" s="688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70" t="s">
        <v>18</v>
      </c>
      <c r="X52" s="671"/>
      <c r="Y52" s="635" t="s">
        <v>1619</v>
      </c>
      <c r="Z52" s="635"/>
      <c r="AA52" s="635"/>
      <c r="AB52" s="635"/>
      <c r="AC52" s="635"/>
      <c r="AD52" s="636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70" t="s">
        <v>19</v>
      </c>
      <c r="X53" s="671"/>
      <c r="Y53" s="635" t="s">
        <v>1620</v>
      </c>
      <c r="Z53" s="635"/>
      <c r="AA53" s="635"/>
      <c r="AB53" s="635"/>
      <c r="AC53" s="635"/>
      <c r="AD53" s="636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70" t="s">
        <v>20</v>
      </c>
      <c r="X54" s="671"/>
      <c r="Y54" s="679" t="s">
        <v>1621</v>
      </c>
      <c r="Z54" s="679"/>
      <c r="AA54" s="679"/>
      <c r="AB54" s="635"/>
      <c r="AC54" s="635"/>
      <c r="AD54" s="636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80" t="s">
        <v>21</v>
      </c>
      <c r="X55" s="681"/>
      <c r="Y55" s="679" t="s">
        <v>1622</v>
      </c>
      <c r="Z55" s="679"/>
      <c r="AA55" s="679"/>
      <c r="AB55" s="679"/>
      <c r="AC55" s="679"/>
      <c r="AD55" s="682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W44" sqref="W43:W4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9" t="s">
        <v>1528</v>
      </c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  <c r="AA4" s="690"/>
      <c r="AB4" s="690"/>
      <c r="AC4" s="691"/>
      <c r="AD4" s="217"/>
      <c r="AE4" s="216"/>
      <c r="AF4" s="216"/>
    </row>
    <row r="5" spans="2:32" ht="13.5" customHeight="1">
      <c r="B5" s="215"/>
      <c r="C5" s="215"/>
      <c r="D5" s="692"/>
      <c r="E5" s="693"/>
      <c r="F5" s="693"/>
      <c r="G5" s="693"/>
      <c r="H5" s="693"/>
      <c r="I5" s="693"/>
      <c r="J5" s="693"/>
      <c r="K5" s="693"/>
      <c r="L5" s="693"/>
      <c r="M5" s="693"/>
      <c r="N5" s="693"/>
      <c r="O5" s="693"/>
      <c r="P5" s="693"/>
      <c r="Q5" s="693"/>
      <c r="R5" s="693"/>
      <c r="S5" s="693"/>
      <c r="T5" s="693"/>
      <c r="U5" s="693"/>
      <c r="V5" s="693"/>
      <c r="W5" s="693"/>
      <c r="X5" s="693"/>
      <c r="Y5" s="693"/>
      <c r="Z5" s="693"/>
      <c r="AA5" s="693"/>
      <c r="AB5" s="693"/>
      <c r="AC5" s="694"/>
      <c r="AD5" s="217"/>
      <c r="AE5" s="216"/>
      <c r="AF5" s="216"/>
    </row>
    <row r="6" spans="2:32" ht="12.75" customHeight="1">
      <c r="B6" s="215"/>
      <c r="C6" s="215"/>
      <c r="D6" s="692"/>
      <c r="E6" s="693"/>
      <c r="F6" s="693"/>
      <c r="G6" s="693"/>
      <c r="H6" s="693"/>
      <c r="I6" s="693"/>
      <c r="J6" s="693"/>
      <c r="K6" s="693"/>
      <c r="L6" s="693"/>
      <c r="M6" s="693"/>
      <c r="N6" s="693"/>
      <c r="O6" s="693"/>
      <c r="P6" s="693"/>
      <c r="Q6" s="693"/>
      <c r="R6" s="693"/>
      <c r="S6" s="693"/>
      <c r="T6" s="693"/>
      <c r="U6" s="693"/>
      <c r="V6" s="693"/>
      <c r="W6" s="693"/>
      <c r="X6" s="693"/>
      <c r="Y6" s="693"/>
      <c r="Z6" s="693"/>
      <c r="AA6" s="693"/>
      <c r="AB6" s="693"/>
      <c r="AC6" s="694"/>
      <c r="AE6" s="216"/>
      <c r="AF6" s="216"/>
    </row>
    <row r="7" spans="2:32" ht="12.75" customHeight="1" thickBot="1">
      <c r="B7" s="215"/>
      <c r="C7" s="215"/>
      <c r="D7" s="695"/>
      <c r="E7" s="696"/>
      <c r="F7" s="696"/>
      <c r="G7" s="696"/>
      <c r="H7" s="696"/>
      <c r="I7" s="696"/>
      <c r="J7" s="696"/>
      <c r="K7" s="696"/>
      <c r="L7" s="696"/>
      <c r="M7" s="696"/>
      <c r="N7" s="696"/>
      <c r="O7" s="696"/>
      <c r="P7" s="696"/>
      <c r="Q7" s="696"/>
      <c r="R7" s="696"/>
      <c r="S7" s="696"/>
      <c r="T7" s="696"/>
      <c r="U7" s="696"/>
      <c r="V7" s="696"/>
      <c r="W7" s="696"/>
      <c r="X7" s="696"/>
      <c r="Y7" s="696"/>
      <c r="Z7" s="696"/>
      <c r="AA7" s="696"/>
      <c r="AB7" s="696"/>
      <c r="AC7" s="697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N31" sqref="N31:O31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3" t="s">
        <v>1527</v>
      </c>
      <c r="D3" s="693"/>
      <c r="E3" s="693"/>
      <c r="F3" s="693"/>
      <c r="G3" s="693"/>
      <c r="H3" s="693"/>
      <c r="I3" s="693"/>
      <c r="J3" s="693"/>
      <c r="K3" s="693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693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693"/>
      <c r="D4" s="693"/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698" t="str">
        <f>GAMBAR!E7</f>
        <v>KOORDINAT : -6.886986, 110.656277</v>
      </c>
      <c r="D6" s="698"/>
      <c r="E6" s="698"/>
      <c r="F6" s="698"/>
      <c r="G6" s="698"/>
      <c r="H6" s="698"/>
      <c r="I6" s="698"/>
      <c r="J6" s="698"/>
      <c r="K6" s="698"/>
      <c r="L6" s="698"/>
      <c r="M6" s="698"/>
      <c r="W6" s="182"/>
      <c r="Y6" s="426"/>
      <c r="Z6" s="426"/>
      <c r="AA6" s="426"/>
      <c r="AB6" s="427"/>
      <c r="AC6" s="427"/>
    </row>
    <row r="7" spans="1:29" ht="18" customHeight="1">
      <c r="A7" s="181"/>
      <c r="C7" s="698"/>
      <c r="D7" s="698"/>
      <c r="E7" s="698"/>
      <c r="F7" s="698"/>
      <c r="G7" s="698"/>
      <c r="H7" s="698"/>
      <c r="I7" s="698"/>
      <c r="J7" s="698"/>
      <c r="K7" s="698"/>
      <c r="L7" s="698"/>
      <c r="M7" s="698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2024-01-19T08:47:06Z</dcterms:modified>
</cp:coreProperties>
</file>