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P\PBPD\MOM\3. BP KURANG DR INVESTASI (PP LBH DR 5 TH)\BTS karangrejo\"/>
    </mc:Choice>
  </mc:AlternateContent>
  <xr:revisionPtr revIDLastSave="0" documentId="13_ncr:1_{A24EAA4F-1D61-4F32-A5DF-3E63BD4F8F29}" xr6:coauthVersionLast="47" xr6:coauthVersionMax="47" xr10:uidLastSave="{00000000-0000-0000-0000-000000000000}"/>
  <bookViews>
    <workbookView xWindow="-120" yWindow="-120" windowWidth="27240" windowHeight="1584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18" i="11" l="1"/>
  <c r="F35" i="11"/>
  <c r="F34" i="11"/>
  <c r="F33" i="11"/>
  <c r="F32" i="11"/>
  <c r="F31" i="11"/>
  <c r="F28" i="11"/>
  <c r="F27" i="11"/>
  <c r="F26" i="11"/>
  <c r="F25" i="11"/>
  <c r="F24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E35" i="11"/>
  <c r="G35" i="11"/>
  <c r="D36" i="11"/>
  <c r="H36" i="11" s="1"/>
  <c r="E36" i="11"/>
  <c r="G36" i="11"/>
  <c r="G17" i="11"/>
  <c r="G18" i="11"/>
  <c r="D17" i="11"/>
  <c r="H17" i="11" s="1"/>
  <c r="E17" i="11"/>
  <c r="D18" i="11"/>
  <c r="E18" i="11"/>
  <c r="I26" i="11" l="1"/>
  <c r="J24" i="11"/>
  <c r="I24" i="11"/>
  <c r="I30" i="11"/>
  <c r="I34" i="11"/>
  <c r="J28" i="11"/>
  <c r="I22" i="11"/>
  <c r="J36" i="11"/>
  <c r="H22" i="11"/>
  <c r="I36" i="11"/>
  <c r="H34" i="11"/>
  <c r="I33" i="11"/>
  <c r="J32" i="11"/>
  <c r="H30" i="11"/>
  <c r="I29" i="11"/>
  <c r="I32" i="11"/>
  <c r="I28" i="11"/>
  <c r="H26" i="11"/>
  <c r="I25" i="11"/>
  <c r="J35" i="11"/>
  <c r="I35" i="11"/>
  <c r="I31" i="11"/>
  <c r="I27" i="11"/>
  <c r="I23" i="11"/>
  <c r="H35" i="11"/>
  <c r="J33" i="11"/>
  <c r="H31" i="11"/>
  <c r="J29" i="11"/>
  <c r="H27" i="11"/>
  <c r="J25" i="11"/>
  <c r="H23" i="11"/>
  <c r="J18" i="11"/>
  <c r="J17" i="11"/>
  <c r="I18" i="11"/>
  <c r="H18" i="11"/>
  <c r="I17" i="11"/>
  <c r="F48" i="11"/>
  <c r="F47" i="11"/>
  <c r="F46" i="11"/>
  <c r="F45" i="11"/>
  <c r="F44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E48" i="11"/>
  <c r="G48" i="11"/>
  <c r="D49" i="11"/>
  <c r="H49" i="11" s="1"/>
  <c r="E49" i="11"/>
  <c r="G49" i="11"/>
  <c r="D37" i="11"/>
  <c r="H37" i="11" s="1"/>
  <c r="E37" i="11"/>
  <c r="G37" i="11"/>
  <c r="F81" i="11"/>
  <c r="F80" i="11"/>
  <c r="F79" i="11"/>
  <c r="F78" i="11"/>
  <c r="F90" i="11"/>
  <c r="F89" i="11"/>
  <c r="F88" i="11"/>
  <c r="F87" i="11"/>
  <c r="F86" i="11"/>
  <c r="F85" i="11"/>
  <c r="F84" i="11"/>
  <c r="F62" i="11"/>
  <c r="F61" i="11"/>
  <c r="F60" i="11"/>
  <c r="F59" i="11"/>
  <c r="F58" i="11"/>
  <c r="F57" i="11"/>
  <c r="F56" i="11"/>
  <c r="F55" i="11"/>
  <c r="F54" i="11"/>
  <c r="F53" i="11"/>
  <c r="F51" i="11"/>
  <c r="K24" i="11" l="1"/>
  <c r="K26" i="11"/>
  <c r="K28" i="11"/>
  <c r="K30" i="11"/>
  <c r="K22" i="11"/>
  <c r="K33" i="11"/>
  <c r="K34" i="11"/>
  <c r="K32" i="11"/>
  <c r="K36" i="11"/>
  <c r="K29" i="11"/>
  <c r="K23" i="11"/>
  <c r="K25" i="11"/>
  <c r="K27" i="11"/>
  <c r="K35" i="11"/>
  <c r="K18" i="11"/>
  <c r="K31" i="11"/>
  <c r="K17" i="11"/>
  <c r="H47" i="11"/>
  <c r="I46" i="11"/>
  <c r="J45" i="11"/>
  <c r="J48" i="11"/>
  <c r="I43" i="11"/>
  <c r="I49" i="11"/>
  <c r="I47" i="11"/>
  <c r="I45" i="11"/>
  <c r="H43" i="11"/>
  <c r="I48" i="11"/>
  <c r="I44" i="11"/>
  <c r="J49" i="11"/>
  <c r="H48" i="11"/>
  <c r="J46" i="11"/>
  <c r="H44" i="11"/>
  <c r="K44" i="11" s="1"/>
  <c r="J37" i="11"/>
  <c r="I37" i="11"/>
  <c r="K45" i="11" l="1"/>
  <c r="K43" i="11"/>
  <c r="K47" i="11"/>
  <c r="K46" i="11"/>
  <c r="K48" i="11"/>
  <c r="K49" i="11"/>
  <c r="K37" i="11"/>
  <c r="G82" i="11" l="1"/>
  <c r="G83" i="11"/>
  <c r="G84" i="11"/>
  <c r="G85" i="11"/>
  <c r="G86" i="11"/>
  <c r="G87" i="11"/>
  <c r="G88" i="11"/>
  <c r="G89" i="11"/>
  <c r="G90" i="11"/>
  <c r="G91" i="11"/>
  <c r="G92" i="11"/>
  <c r="G93" i="11"/>
  <c r="G94" i="11"/>
  <c r="D82" i="11"/>
  <c r="H82" i="11" s="1"/>
  <c r="E82" i="11"/>
  <c r="D83" i="11"/>
  <c r="J83" i="11" s="1"/>
  <c r="E83" i="11"/>
  <c r="D84" i="11"/>
  <c r="E84" i="11"/>
  <c r="D85" i="11"/>
  <c r="H85" i="11" s="1"/>
  <c r="E85" i="11"/>
  <c r="D86" i="11"/>
  <c r="H86" i="11" s="1"/>
  <c r="E86" i="11"/>
  <c r="D87" i="11"/>
  <c r="J87" i="11" s="1"/>
  <c r="E87" i="11"/>
  <c r="D88" i="11"/>
  <c r="E88" i="11"/>
  <c r="D89" i="11"/>
  <c r="H89" i="11" s="1"/>
  <c r="E89" i="11"/>
  <c r="D90" i="11"/>
  <c r="H90" i="11" s="1"/>
  <c r="E90" i="11"/>
  <c r="D91" i="11"/>
  <c r="J91" i="11" s="1"/>
  <c r="E91" i="11"/>
  <c r="D92" i="11"/>
  <c r="J92" i="11" s="1"/>
  <c r="E92" i="11"/>
  <c r="D93" i="11"/>
  <c r="I93" i="11" s="1"/>
  <c r="E93" i="11"/>
  <c r="D94" i="11"/>
  <c r="H94" i="11" s="1"/>
  <c r="E94" i="11"/>
  <c r="D40" i="11"/>
  <c r="H40" i="11" s="1"/>
  <c r="E40" i="11"/>
  <c r="G40" i="11"/>
  <c r="D41" i="11"/>
  <c r="J41" i="11" s="1"/>
  <c r="E41" i="11"/>
  <c r="G41" i="11"/>
  <c r="D42" i="11"/>
  <c r="J42" i="11" s="1"/>
  <c r="E42" i="11"/>
  <c r="G42" i="11"/>
  <c r="F39" i="11"/>
  <c r="I88" i="11" l="1"/>
  <c r="I84" i="11"/>
  <c r="I90" i="11"/>
  <c r="J82" i="11"/>
  <c r="H93" i="11"/>
  <c r="J86" i="11"/>
  <c r="H84" i="11"/>
  <c r="I82" i="11"/>
  <c r="J90" i="11"/>
  <c r="H88" i="11"/>
  <c r="I86" i="11"/>
  <c r="I92" i="11"/>
  <c r="I91" i="11"/>
  <c r="I87" i="11"/>
  <c r="I83" i="11"/>
  <c r="J94" i="11"/>
  <c r="H92" i="11"/>
  <c r="H91" i="11"/>
  <c r="J89" i="11"/>
  <c r="H87" i="11"/>
  <c r="J85" i="11"/>
  <c r="H83" i="11"/>
  <c r="I94" i="11"/>
  <c r="J93" i="11"/>
  <c r="I89" i="11"/>
  <c r="J88" i="11"/>
  <c r="I85" i="11"/>
  <c r="J84" i="11"/>
  <c r="I41" i="11"/>
  <c r="H41" i="11"/>
  <c r="I42" i="11"/>
  <c r="H42" i="11"/>
  <c r="J40" i="11"/>
  <c r="I40" i="11"/>
  <c r="K91" i="11" l="1"/>
  <c r="K86" i="11"/>
  <c r="K88" i="11"/>
  <c r="K85" i="11"/>
  <c r="K94" i="11"/>
  <c r="K83" i="11"/>
  <c r="K92" i="11"/>
  <c r="K90" i="11"/>
  <c r="K89" i="11"/>
  <c r="K84" i="11"/>
  <c r="K82" i="11"/>
  <c r="K93" i="11"/>
  <c r="K87" i="11"/>
  <c r="K42" i="11"/>
  <c r="K40" i="11"/>
  <c r="K41" i="11"/>
  <c r="D38" i="11" l="1"/>
  <c r="E38" i="11"/>
  <c r="G38" i="11"/>
  <c r="J39" i="11"/>
  <c r="D76" i="11"/>
  <c r="D77" i="11"/>
  <c r="D78" i="11"/>
  <c r="D79" i="11"/>
  <c r="D80" i="11"/>
  <c r="D81" i="11"/>
  <c r="D19" i="11"/>
  <c r="J19" i="11" s="1"/>
  <c r="E19" i="11"/>
  <c r="G19" i="11"/>
  <c r="D21" i="11"/>
  <c r="H21" i="11" s="1"/>
  <c r="E21" i="11"/>
  <c r="G21" i="11"/>
  <c r="E7" i="64"/>
  <c r="D15" i="11"/>
  <c r="J15" i="11" s="1"/>
  <c r="E15" i="11"/>
  <c r="G15" i="11"/>
  <c r="D16" i="11"/>
  <c r="J16" i="11" s="1"/>
  <c r="E16" i="11"/>
  <c r="G16" i="11"/>
  <c r="G63" i="11"/>
  <c r="D63" i="11"/>
  <c r="J63" i="11" s="1"/>
  <c r="E63" i="11"/>
  <c r="H38" i="11" l="1"/>
  <c r="I39" i="11"/>
  <c r="J38" i="11"/>
  <c r="I38" i="11"/>
  <c r="H39" i="11"/>
  <c r="J21" i="11"/>
  <c r="I21" i="11"/>
  <c r="I19" i="11"/>
  <c r="H19" i="11"/>
  <c r="I15" i="11"/>
  <c r="H15" i="11"/>
  <c r="I16" i="11"/>
  <c r="H16" i="11"/>
  <c r="I63" i="11"/>
  <c r="H63" i="11"/>
  <c r="K39" i="11" l="1"/>
  <c r="K38" i="11"/>
  <c r="K21" i="11"/>
  <c r="K19" i="11"/>
  <c r="K15" i="11"/>
  <c r="K63" i="11"/>
  <c r="K16" i="11"/>
  <c r="F73" i="11" l="1"/>
  <c r="F72" i="11"/>
  <c r="F71" i="11"/>
  <c r="F70" i="11"/>
  <c r="F69" i="11"/>
  <c r="F68" i="11"/>
  <c r="F67" i="11"/>
  <c r="F66" i="11"/>
  <c r="F65" i="11"/>
  <c r="D64" i="11"/>
  <c r="H64" i="11" s="1"/>
  <c r="E64" i="11"/>
  <c r="G64" i="11"/>
  <c r="D65" i="11"/>
  <c r="J65" i="11" s="1"/>
  <c r="E65" i="11"/>
  <c r="G65" i="11"/>
  <c r="D66" i="11"/>
  <c r="J66" i="11" s="1"/>
  <c r="E66" i="11"/>
  <c r="G66" i="11"/>
  <c r="D67" i="11"/>
  <c r="H67" i="11" s="1"/>
  <c r="E67" i="11"/>
  <c r="G67" i="11"/>
  <c r="D68" i="11"/>
  <c r="J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H71" i="11" s="1"/>
  <c r="E71" i="11"/>
  <c r="G71" i="11"/>
  <c r="D72" i="11"/>
  <c r="H72" i="11" s="1"/>
  <c r="E72" i="11"/>
  <c r="G72" i="11"/>
  <c r="D73" i="11"/>
  <c r="E73" i="11"/>
  <c r="G73" i="11"/>
  <c r="D74" i="11"/>
  <c r="J74" i="11" s="1"/>
  <c r="E74" i="11"/>
  <c r="G74" i="11"/>
  <c r="D50" i="11"/>
  <c r="J50" i="11" s="1"/>
  <c r="E50" i="11"/>
  <c r="G50" i="11"/>
  <c r="D51" i="11"/>
  <c r="I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J54" i="11" s="1"/>
  <c r="E54" i="11"/>
  <c r="G54" i="11"/>
  <c r="D55" i="11"/>
  <c r="E55" i="11"/>
  <c r="G55" i="11"/>
  <c r="D56" i="11"/>
  <c r="J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J59" i="11" s="1"/>
  <c r="E59" i="11"/>
  <c r="G59" i="11"/>
  <c r="D60" i="11"/>
  <c r="H60" i="11" s="1"/>
  <c r="E60" i="11"/>
  <c r="G60" i="11"/>
  <c r="D61" i="11"/>
  <c r="J61" i="11" s="1"/>
  <c r="E61" i="11"/>
  <c r="G61" i="11"/>
  <c r="D62" i="11"/>
  <c r="E62" i="11"/>
  <c r="G62" i="11"/>
  <c r="G6" i="11"/>
  <c r="D75" i="11"/>
  <c r="J75" i="11" s="1"/>
  <c r="E75" i="11"/>
  <c r="G75" i="11"/>
  <c r="H76" i="11"/>
  <c r="E76" i="11"/>
  <c r="G76" i="11"/>
  <c r="E77" i="11"/>
  <c r="G77" i="11"/>
  <c r="J78" i="11"/>
  <c r="E78" i="11"/>
  <c r="G78" i="11"/>
  <c r="J79" i="11"/>
  <c r="E79" i="11"/>
  <c r="G79" i="11"/>
  <c r="E80" i="11"/>
  <c r="G80" i="11"/>
  <c r="H81" i="11"/>
  <c r="E81" i="11"/>
  <c r="G81" i="11"/>
  <c r="D20" i="60"/>
  <c r="I55" i="11" l="1"/>
  <c r="J62" i="11"/>
  <c r="J73" i="11"/>
  <c r="J72" i="11"/>
  <c r="J64" i="11"/>
  <c r="I68" i="11"/>
  <c r="I64" i="11"/>
  <c r="I70" i="11"/>
  <c r="H70" i="11"/>
  <c r="H66" i="11"/>
  <c r="I66" i="11"/>
  <c r="I74" i="11"/>
  <c r="I72" i="11"/>
  <c r="I71" i="11"/>
  <c r="J51" i="11"/>
  <c r="H74" i="11"/>
  <c r="H68" i="11"/>
  <c r="I67" i="11"/>
  <c r="I73" i="11"/>
  <c r="H73" i="11"/>
  <c r="J71" i="11"/>
  <c r="H69" i="11"/>
  <c r="J67" i="11"/>
  <c r="H65" i="11"/>
  <c r="I69" i="11"/>
  <c r="I65" i="11"/>
  <c r="I59" i="11"/>
  <c r="J55" i="11"/>
  <c r="H55" i="11"/>
  <c r="H59" i="11"/>
  <c r="J60" i="11"/>
  <c r="H56" i="11"/>
  <c r="I53" i="11"/>
  <c r="I52" i="11"/>
  <c r="I60" i="11"/>
  <c r="I56" i="11"/>
  <c r="H51" i="11"/>
  <c r="H61" i="11"/>
  <c r="H57" i="11"/>
  <c r="H52" i="11"/>
  <c r="I57" i="11"/>
  <c r="H53" i="11"/>
  <c r="I61" i="11"/>
  <c r="I58" i="11"/>
  <c r="I50" i="11"/>
  <c r="H62" i="11"/>
  <c r="H58" i="11"/>
  <c r="H54" i="11"/>
  <c r="H50" i="11"/>
  <c r="I62" i="11"/>
  <c r="I54" i="11"/>
  <c r="H77" i="11"/>
  <c r="H80" i="11"/>
  <c r="J81" i="11"/>
  <c r="J80" i="11"/>
  <c r="I78" i="11"/>
  <c r="H78" i="11"/>
  <c r="J77" i="11"/>
  <c r="J76" i="11"/>
  <c r="I76" i="11"/>
  <c r="I80" i="11"/>
  <c r="H79" i="11"/>
  <c r="H75" i="11"/>
  <c r="I79" i="11"/>
  <c r="I75" i="11"/>
  <c r="I81" i="11"/>
  <c r="I77" i="11"/>
  <c r="D14" i="11"/>
  <c r="J14" i="11" s="1"/>
  <c r="E14" i="11"/>
  <c r="G14" i="11"/>
  <c r="K19" i="60"/>
  <c r="D19" i="60"/>
  <c r="K53" i="11" l="1"/>
  <c r="K70" i="11"/>
  <c r="K58" i="11"/>
  <c r="K64" i="11"/>
  <c r="K68" i="11"/>
  <c r="K55" i="11"/>
  <c r="K72" i="11"/>
  <c r="K60" i="11"/>
  <c r="K71" i="11"/>
  <c r="K59" i="11"/>
  <c r="K66" i="11"/>
  <c r="K56" i="11"/>
  <c r="K52" i="11"/>
  <c r="K51" i="11"/>
  <c r="K74" i="11"/>
  <c r="K67" i="11"/>
  <c r="K65" i="11"/>
  <c r="K73" i="11"/>
  <c r="K69" i="11"/>
  <c r="K57" i="11"/>
  <c r="K61" i="11"/>
  <c r="K62" i="11"/>
  <c r="K50" i="11"/>
  <c r="K54" i="11"/>
  <c r="K76" i="11"/>
  <c r="K78" i="11"/>
  <c r="K80" i="11"/>
  <c r="K81" i="11"/>
  <c r="K77" i="11"/>
  <c r="K75" i="11"/>
  <c r="K79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9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5" i="11"/>
  <c r="D96" i="11"/>
  <c r="H96" i="11" s="1"/>
  <c r="E9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3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6" i="11"/>
  <c r="I96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96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8" i="11"/>
  <c r="H99" i="11" s="1"/>
  <c r="I98" i="11"/>
  <c r="I99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00" i="11"/>
  <c r="I100" i="11"/>
  <c r="F364" i="29"/>
  <c r="F69" i="39"/>
  <c r="F72" i="39"/>
  <c r="F367" i="29"/>
  <c r="J95" i="11"/>
  <c r="K95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8" i="11" l="1"/>
  <c r="K99" i="11" s="1"/>
  <c r="K100" i="11" s="1"/>
  <c r="B101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8" i="11"/>
  <c r="J9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0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<sst xmlns="http://schemas.openxmlformats.org/spreadsheetml/2006/main" count="4768" uniqueCount="1643">
  <si>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</si>
  <si>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</si>
  <si>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</si>
  <si>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</si>
  <si>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</si>
  <si>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</si>
  <si>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</si>
  <si>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</si>
  <si>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</si>
  <si>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</si>
  <si>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</si>
  <si>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</si>
  <si>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</si>
  <si>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</si>
  <si>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</si>
  <si>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</si>
  <si>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</si>
  <si>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</si>
  <si>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</si>
  <si>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</si>
  <si>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</si>
  <si>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</si>
  <si>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</si>
  <si>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</si>
  <si>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</si>
  <si>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</si>
  <si>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</si>
  <si>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</si>
  <si>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</si>
  <si>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</si>
  <si>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</si>
  <si>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</si>
  <si>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</si>
  <si>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</si>
  <si>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</si>
  <si>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</si>
  <si>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</si>
  <si>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</si>
  <si>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</si>
  <si>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</si>
  <si>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</si>
  <si>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</si>
  <si>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</si>
  <si>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</si>
  <si>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</si>
  <si>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</si>
  <si>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</si>
  <si>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</si>
  <si>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</si>
  <si>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</si>
  <si>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</si>
  <si>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</si>
  <si>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</si>
  <si>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</si>
  <si>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</si>
  <si>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</si>
  <si>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</si>
  <si>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</si>
  <si>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</si>
  <si>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</si>
  <si>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</si>
  <si>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</si>
  <si>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</si>
  <si>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</si>
  <si>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</si>
  <si>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</si>
  <si>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</si>
  <si>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</si>
  <si>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</si>
  <si>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</si>
  <si>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</si>
  <si>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</si>
  <si>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</si>
  <si>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</si>
  <si>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</si>
  <si>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</si>
  <si>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</si>
  <si>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</si>
  <si>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</si>
  <si>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</si>
  <si>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</si>
  <si>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</si>
  <si>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</si>
  <si>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</si>
  <si>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</si>
  <si>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</si>
  <si>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</si>
  <si>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</si>
  <si>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</si>
  <si>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</si>
  <si>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</si>
  <si>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</si>
  <si>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</si>
  <si>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</si>
  <si>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</si>
  <si>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</si>
  <si>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</si>
  <si>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</si>
  <si>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</si>
  <si>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</si>
  <si>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</si>
  <si>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</si>
  <si>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</si>
  <si>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</si>
  <si>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</si>
  <si>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</si>
  <si>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</si>
  <si>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</si>
  <si>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</si>
  <si>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</si>
  <si>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</si>
  <si>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</si>
  <si>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</si>
  <si>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</si>
  <si>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</si>
  <si>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</si>
  <si>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</si>
  <si>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</si>
  <si>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</si>
  <si>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</si>
  <si>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</si>
  <si>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</si>
  <si>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</si>
  <si>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</si>
  <si>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</si>
  <si>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</si>
  <si>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</si>
  <si>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</si>
  <si>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</si>
  <si>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</si>
  <si>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</si>
  <si>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</si>
  <si>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</si>
  <si>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</si>
  <si>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</si>
  <si>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</si>
  <si>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</si>
  <si>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</si>
  <si>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</si>
  <si>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</si>
  <si>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</si>
  <si>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</si>
  <si>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</si>
  <si>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</si>
  <si>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</si>
  <si>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</si>
  <si>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</si>
  <si>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</si>
  <si>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</si>
  <si>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</si>
  <si>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</si>
  <si>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</si>
  <si>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</si>
  <si>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</si>
  <si>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</si>
  <si>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</si>
  <si>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</si>
  <si>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</si>
  <si>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</si>
  <si>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</si>
  <si>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</si>
  <si>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</si>
  <si>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</si>
  <si>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</si>
  <si>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</si>
  <si>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</si>
  <si>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</si>
  <si>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</si>
  <si>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</si>
  <si>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</si>
  <si>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</si>
  <si>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</si>
  <si>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</si>
  <si>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</si>
  <si>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</si>
  <si>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</si>
  <si>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</si>
  <si>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</si>
  <si>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</si>
  <si>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</si>
  <si>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</si>
  <si>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</si>
  <si>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</si>
  <si>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</si>
  <si>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</si>
  <si>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</si>
  <si>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</si>
  <si>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</si>
  <si>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</si>
  <si>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</si>
  <si>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</si>
  <si>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</si>
  <si>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</si>
  <si>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</si>
  <si>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</si>
  <si>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</si>
  <si>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</si>
  <si>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</si>
  <si>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</si>
  <si>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</si>
  <si>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</si>
  <si>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</si>
  <si>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</si>
  <si>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</si>
  <si>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</si>
  <si>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</si>
  <si>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</si>
  <si>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</si>
  <si>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</si>
  <si>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</si>
  <si>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</si>
  <si>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</si>
  <si>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</si>
  <si>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</si>
  <si>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</si>
  <si>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</si>
  <si>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</si>
  <si>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</si>
  <si>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</si>
  <si>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</si>
  <si>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</si>
  <si>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</si>
  <si>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</si>
  <si>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</si>
  <si>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</si>
  <si>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</si>
  <si>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</si>
  <si>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</si>
  <si>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</si>
  <si>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</si>
  <si>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</si>
  <si>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</si>
  <si>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</si>
  <si>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</si>
  <si>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</si>
  <si>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</si>
  <si>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</si>
  <si>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</si>
  <si>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</si>
  <si>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</si>
  <si>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</si>
  <si>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</si>
  <si>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</si>
  <si>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</si>
  <si>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</si>
  <si>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</si>
  <si>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</si>
  <si>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</si>
  <si>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</si>
  <si>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</si>
  <si>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</si>
  <si>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</si>
  <si>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</si>
  <si>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</si>
  <si>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</si>
  <si>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</si>
  <si>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</si>
  <si>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</si>
  <si>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</si>
  <si>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</si>
  <si>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</si>
  <si>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</si>
  <si>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</si>
  <si>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</si>
  <si>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</si>
  <si>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</si>
  <si>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</si>
  <si>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</si>
  <si>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</si>
  <si>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</si>
  <si>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</si>
  <si>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</si>
  <si>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</si>
  <si>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</si>
  <si>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</si>
  <si>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</si>
  <si>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</si>
  <si>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</si>
  <si>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</si>
  <si>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</si>
  <si>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</si>
  <si>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</si>
  <si>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</si>
  <si>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</si>
  <si>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</si>
  <si>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</si>
  <si>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</si>
  <si>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</si>
  <si>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</si>
  <si>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</si>
  <si>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</si>
  <si>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</si>
  <si>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</si>
  <si>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</si>
  <si>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</si>
  <si>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</si>
  <si>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</si>
  <si>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</si>
  <si>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</si>
  <si>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</si>
  <si>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</si>
  <si>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</si>
  <si>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</si>
  <si>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</si>
  <si>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</si>
  <si>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</si>
  <si>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</si>
  <si>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</si>
  <si>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</si>
  <si>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</si>
  <si>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</si>
  <si>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</si>
  <si>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</si>
  <si>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</si>
  <si>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</si>
  <si>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</si>
  <si>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</si>
  <si>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</si>
  <si>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</si>
  <si>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</si>
  <si>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</si>
  <si>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</si>
  <si>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</si>
  <si>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</si>
  <si>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</si>
  <si>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</si>
  <si>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</si>
  <si>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</si>
  <si>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</si>
  <si>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</si>
  <si>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</si>
  <si>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</si>
  <si>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</si>
  <si>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</si>
  <si>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</si>
  <si>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</si>
  <si>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</si>
  <si>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</si>
  <si>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</si>
  <si>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</si>
  <si>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</si>
  <si>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</si>
  <si>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</si>
  <si>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</si>
  <si>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</si>
  <si>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</si>
  <si>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</si>
  <si>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</si>
  <si>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</si>
  <si>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</si>
  <si>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</si>
  <si>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</si>
  <si>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</si>
  <si>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</si>
  <si>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</si>
  <si>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</si>
  <si>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</si>
  <si>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</si>
  <si>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</si>
  <si>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</si>
  <si>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</si>
  <si>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</si>
  <si>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</si>
  <si>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</si>
  <si>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</si>
  <si>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</si>
  <si>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</si>
  <si>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</si>
  <si>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</si>
  <si>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</si>
  <si>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</si>
  <si>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</si>
  <si>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</si>
  <si>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</si>
  <si>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</si>
  <si>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</si>
  <si>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</si>
  <si>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</si>
  <si>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</si>
  <si>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</si>
  <si>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</si>
  <si>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</si>
  <si>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</si>
  <si>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</si>
  <si>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</si>
  <si>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</si>
  <si>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</si>
  <si>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</si>
  <si>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</si>
  <si>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</si>
  <si>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</si>
  <si>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</si>
  <si>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</si>
  <si>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</si>
  <si>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</si>
  <si>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</si>
  <si>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</si>
  <si>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</si>
  <si>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</si>
  <si>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</si>
  <si>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</si>
  <si>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</si>
  <si>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</si>
  <si>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</si>
  <si>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</si>
  <si>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</si>
  <si>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</si>
  <si>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</si>
  <si>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</si>
  <si>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</si>
  <si>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</si>
  <si>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</si>
  <si>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</si>
  <si>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</si>
  <si>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</si>
  <si>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</si>
  <si>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</si>
  <si>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</si>
  <si>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</si>
  <si>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</si>
  <si>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</si>
  <si>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</si>
  <si>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</si>
  <si>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</si>
  <si>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</si>
  <si>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</si>
  <si>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</si>
  <si>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</si>
  <si>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</si>
  <si>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</si>
  <si>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</si>
  <si>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</si>
  <si>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</si>
  <si>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</si>
  <si>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</si>
  <si>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</si>
  <si>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</si>
  <si>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</si>
  <si>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</si>
  <si>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</si>
  <si>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</si>
  <si>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</si>
  <si>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</si>
  <si>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</si>
  <si>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</si>
  <si>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</si>
  <si>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</si>
  <si>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</si>
  <si>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</si>
  <si>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</si>
  <si>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</si>
  <si>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</si>
  <si>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</si>
  <si>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</si>
  <si>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</si>
  <si>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</si>
  <si>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</si>
  <si>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</si>
  <si>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</si>
  <si>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</si>
  <si>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</si>
  <si>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</si>
  <si>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</si>
  <si>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</si>
  <si>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</si>
  <si>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</si>
  <si>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</si>
  <si>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</si>
  <si>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</si>
  <si>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</si>
  <si>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</si>
  <si>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</si>
  <si>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</si>
  <si>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</si>
  <si>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</si>
  <si>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</si>
  <si>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</si>
  <si>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</si>
  <si>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</si>
  <si>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</si>
  <si>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</si>
  <si>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</si>
  <si>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</si>
  <si>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</si>
  <si>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</si>
  <si>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</si>
  <si>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</si>
  <si>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</si>
  <si>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</si>
  <si>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</si>
  <si>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</si>
  <si>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</si>
  <si>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</si>
  <si>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</si>
  <si>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</si>
  <si>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</si>
  <si>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</si>
  <si>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</si>
  <si>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</si>
  <si>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</si>
  <si>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</si>
  <si>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</si>
  <si>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</si>
  <si>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</si>
  <si>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</si>
  <si>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</si>
  <si>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</si>
  <si>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</si>
  <si>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</si>
  <si>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</si>
  <si>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</si>
  <si>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</si>
  <si>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</si>
  <si>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</si>
  <si>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</si>
  <si>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</si>
  <si>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</si>
  <si>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</si>
  <si>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</si>
  <si>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</si>
  <si>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</si>
  <si>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</si>
  <si>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</si>
  <si>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</si>
  <si>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</si>
  <si>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</si>
  <si>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</si>
  <si>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</si>
  <si>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</si>
  <si>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</si>
  <si>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</si>
  <si>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</si>
  <si>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</si>
  <si>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</si>
  <si>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</si>
  <si>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</si>
  <si>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</si>
  <si>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</si>
  <si>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</si>
  <si>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</si>
  <si>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</si>
  <si>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</si>
  <si>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</si>
  <si>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</si>
  <si>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</si>
  <si>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</si>
  <si>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</si>
  <si>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</si>
  <si>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</si>
  <si>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</si>
  <si>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</si>
  <si>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</si>
  <si>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</si>
  <si>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</si>
  <si>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</si>
  <si>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</si>
  <si>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</si>
  <si>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</si>
  <si>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</si>
  <si>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</si>
  <si>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</si>
  <si>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</si>
  <si>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</si>
  <si>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</si>
  <si>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</si>
  <si>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</si>
  <si>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</si>
  <si>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</si>
  <si>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</si>
  <si>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</si>
  <si>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</si>
  <si>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</si>
  <si>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</si>
  <si>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</si>
  <si>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</si>
  <si>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</si>
  <si>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</si>
  <si>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</si>
  <si>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</si>
  <si>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</si>
  <si>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</si>
  <si>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</si>
  <si>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</si>
  <si>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</si>
  <si>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</si>
  <si>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</si>
  <si>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</si>
  <si>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</si>
  <si>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</si>
  <si>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</si>
  <si>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</si>
  <si>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</si>
  <si>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</si>
  <si>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</si>
  <si>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</si>
  <si>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</si>
  <si>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</si>
  <si>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</si>
  <si>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</si>
  <si>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</si>
  <si>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</si>
  <si>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</si>
  <si>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</si>
  <si>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</si>
  <si>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</si>
  <si>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</si>
  <si>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</si>
  <si>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</si>
  <si>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</si>
  <si>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</si>
  <si>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</si>
  <si>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</si>
  <si>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</si>
  <si>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</si>
  <si>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</si>
  <si>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</si>
  <si>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</si>
  <si>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</si>
  <si>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</si>
  <si>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</si>
  <si>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</si>
  <si>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</si>
  <si>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</si>
  <si>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</si>
  <si>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</si>
  <si>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</si>
  <si>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</si>
  <si>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</si>
  <si>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</si>
  <si>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</si>
  <si>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</si>
  <si>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</si>
  <si>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</si>
  <si>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</si>
  <si>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</si>
  <si>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</si>
  <si>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</si>
  <si>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</si>
  <si>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</si>
  <si>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</si>
  <si>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</si>
  <si>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</si>
  <si>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</si>
  <si>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</si>
  <si>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</si>
  <si>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</si>
  <si>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</si>
  <si>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</si>
  <si>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</si>
  <si>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</si>
  <si>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</si>
  <si>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</si>
  <si>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</si>
  <si>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</si>
  <si>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</si>
  <si>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</si>
  <si>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</si>
  <si>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</si>
  <si>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</si>
  <si>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</si>
  <si>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</si>
  <si>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</si>
  <si>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</si>
  <si>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</si>
  <si>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</si>
  <si>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</si>
  <si>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</si>
  <si>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</si>
  <si>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</si>
  <si>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</si>
  <si>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</si>
  <si>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</si>
  <si>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</si>
  <si>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</si>
  <si>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</si>
  <si>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</si>
  <si>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</si>
  <si>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</si>
  <si>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</si>
  <si>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</si>
  <si>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</si>
  <si>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</si>
  <si>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</si>
  <si>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</si>
  <si>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</si>
  <si>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</si>
  <si>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</si>
  <si>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</si>
  <si>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</si>
  <si>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</si>
  <si>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</si>
  <si>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</si>
  <si>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</si>
  <si>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</si>
  <si>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</si>
  <si>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</si>
  <si>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</si>
  <si>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</si>
  <si>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</si>
  <si>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</si>
  <si>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</si>
  <si>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</si>
  <si>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</si>
  <si>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</si>
  <si>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</si>
  <si>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</si>
  <si>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</si>
  <si>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</si>
  <si>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</si>
  <si>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</si>
  <si>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</si>
  <si>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</si>
  <si>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</si>
  <si>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</si>
  <si>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</si>
  <si>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</si>
  <si>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</si>
  <si>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</si>
  <si>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</si>
  <si>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</si>
  <si>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</si>
  <si>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</si>
  <si>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</si>
  <si>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</si>
  <si>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</si>
  <si>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</si>
  <si>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</si>
  <si>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</si>
  <si>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</si>
  <si>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</si>
  <si>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</si>
  <si>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</si>
  <si>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</si>
  <si>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</si>
  <si>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</si>
  <si>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</si>
  <si>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</si>
  <si>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</si>
  <si>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</si>
  <si>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</si>
  <si>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</si>
  <si>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</si>
  <si>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</si>
  <si>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</si>
  <si>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</si>
  <si>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</si>
  <si>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</si>
  <si>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</si>
  <si>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</si>
  <si>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</si>
  <si>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</si>
  <si>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</si>
  <si>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</si>
  <si>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</si>
  <si>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</si>
  <si>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</si>
  <si>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</si>
  <si>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</si>
  <si>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</si>
  <si>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</si>
  <si>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</si>
  <si>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</si>
  <si>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</si>
  <si>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</si>
  <si>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</si>
  <si>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</si>
  <si>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</si>
  <si>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</si>
  <si>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</si>
  <si>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</si>
  <si>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</si>
  <si>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</si>
  <si>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</si>
  <si>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</si>
  <si>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</si>
  <si>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</si>
  <si>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</si>
  <si>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</si>
  <si>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</si>
  <si>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</si>
  <si>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</si>
  <si>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</si>
  <si>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</si>
  <si>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</si>
  <si>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</si>
  <si>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</si>
  <si>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</si>
  <si>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</si>
  <si>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</si>
  <si>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</si>
  <si>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</si>
  <si>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</si>
  <si>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</si>
  <si>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</si>
  <si>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</si>
  <si>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</si>
  <si>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</si>
  <si>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</si>
  <si>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</si>
  <si>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</si>
  <si>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</si>
  <si>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</si>
  <si>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</si>
  <si>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</si>
  <si>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</si>
  <si>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</si>
  <si>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</si>
  <si>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</si>
  <si>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</si>
  <si>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</si>
  <si>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</si>
  <si>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</si>
  <si>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</si>
  <si>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</si>
  <si>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</si>
  <si>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</si>
  <si>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</si>
  <si>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</si>
  <si>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</si>
  <si>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</si>
  <si>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</si>
  <si>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</si>
  <si>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</si>
  <si>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</si>
  <si>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</si>
  <si>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</si>
  <si>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</si>
  <si>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</si>
  <si>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</si>
  <si>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</si>
  <si>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</si>
  <si>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</si>
  <si>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</si>
  <si>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</si>
  <si>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</si>
  <si>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</si>
  <si>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</si>
  <si>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</si>
  <si>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</si>
  <si>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</si>
  <si>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</si>
  <si>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</si>
  <si>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</si>
  <si>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</si>
  <si>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</si>
  <si>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</si>
  <si>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</si>
  <si>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</si>
  <si>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</si>
  <si>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</si>
  <si>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</si>
  <si>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</si>
  <si>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</si>
  <si>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</si>
  <si>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</si>
  <si>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</si>
  <si>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</si>
  <si>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</si>
  <si>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</si>
  <si>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</si>
  <si>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</si>
  <si>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</si>
  <si>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</si>
  <si>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</si>
  <si>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</si>
  <si>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</si>
  <si>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</si>
  <si>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</si>
  <si>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</si>
  <si>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</si>
  <si>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</si>
  <si>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</si>
  <si>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</si>
  <si>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</si>
  <si>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</si>
  <si>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</si>
  <si>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</si>
  <si>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</si>
  <si>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</si>
  <si>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</si>
  <si>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</si>
  <si>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</si>
  <si>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</si>
  <si>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</si>
  <si>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</si>
  <si>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</si>
  <si>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</si>
  <si>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</si>
  <si>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</si>
  <si>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</si>
  <si>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</si>
  <si>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</si>
  <si>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</si>
  <si>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</si>
  <si>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</si>
  <si>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</si>
  <si>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</si>
  <si>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</si>
  <si>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</si>
  <si>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</si>
  <si>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</si>
  <si>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</si>
  <si>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</si>
  <si>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</si>
  <si>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</si>
  <si>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</si>
  <si>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</si>
  <si>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</si>
  <si>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</si>
  <si>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</si>
  <si>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</si>
  <si>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</si>
  <si>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</si>
  <si>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</si>
  <si>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</si>
  <si>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</si>
  <si>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</si>
  <si>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</si>
  <si>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</si>
  <si>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</si>
  <si>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</si>
  <si>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</si>
  <si>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</si>
  <si>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</si>
  <si>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</si>
  <si>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</si>
  <si>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</si>
  <si>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</si>
  <si>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</si>
  <si>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</si>
  <si>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</si>
  <si>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</si>
  <si>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</si>
  <si>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</si>
  <si>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</si>
  <si>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</si>
  <si>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</si>
  <si>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</si>
  <si>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</si>
  <si>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</si>
  <si>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</si>
  <si>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</si>
  <si>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</si>
  <si>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</si>
  <si>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</si>
  <si>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</si>
  <si>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</si>
  <si>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</si>
  <si>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</si>
  <si>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</si>
  <si>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</si>
  <si>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</si>
  <si>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</si>
  <si>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</si>
  <si>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</si>
  <si>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</si>
  <si>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</si>
  <si>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</si>
  <si>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</si>
  <si>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</si>
  <si>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</si>
  <si>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</si>
  <si>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</si>
  <si>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</si>
  <si>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</si>
  <si>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</si>
  <si>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</si>
  <si>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</si>
  <si>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</si>
  <si>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</si>
  <si>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</si>
  <si>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</si>
  <si>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</si>
  <si>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</si>
  <si>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</si>
  <si>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</si>
  <si>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</si>
  <si>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</si>
  <si>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</si>
  <si>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</si>
  <si>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</si>
  <si>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</si>
  <si>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</si>
  <si>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</si>
  <si>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</si>
  <si>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</si>
  <si>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</si>
  <si>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</si>
  <si>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</si>
  <si>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</si>
  <si>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</si>
  <si>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</si>
  <si>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</si>
  <si>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</si>
  <si>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</si>
  <si>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</si>
  <si>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</si>
  <si>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</si>
  <si>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</si>
  <si>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</si>
  <si>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</si>
  <si>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</si>
  <si>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</si>
  <si>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</si>
  <si>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</si>
  <si>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</si>
  <si>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</si>
  <si>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</si>
  <si>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</si>
  <si>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</si>
  <si>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</si>
  <si>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</si>
  <si>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</si>
  <si>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</si>
  <si>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</si>
  <si>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</si>
  <si>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</si>
  <si>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</si>
  <si>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</si>
  <si>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</si>
  <si>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</si>
  <si>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</si>
  <si>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</si>
  <si>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</si>
  <si>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</si>
  <si>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</si>
  <si>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</si>
  <si>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</si>
  <si>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</si>
  <si>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</si>
  <si>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</si>
  <si>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</si>
  <si>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</si>
  <si>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</si>
  <si>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</si>
  <si>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</si>
  <si>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</si>
  <si>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</si>
  <si>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</si>
  <si>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</si>
  <si>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</si>
  <si>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</si>
  <si>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</si>
  <si>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</si>
  <si>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</si>
  <si>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</si>
  <si>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</si>
  <si>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</si>
  <si>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</si>
  <si>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</si>
  <si>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</si>
  <si>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</si>
  <si>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</si>
  <si>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</si>
  <si>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</si>
  <si>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</si>
  <si>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</si>
  <si>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</si>
  <si>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</si>
  <si>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</si>
  <si>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</si>
  <si>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</si>
  <si>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</si>
  <si>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</si>
  <si>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</si>
  <si>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</si>
  <si>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</si>
  <si>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</si>
  <si>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</si>
  <si>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</si>
  <si>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</si>
  <si>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</si>
  <si>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</si>
  <si>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</si>
  <si>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</si>
  <si>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</si>
  <si>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</si>
  <si>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</si>
  <si>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</si>
  <si>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</si>
  <si>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</si>
  <si>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</si>
  <si>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</si>
  <si>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</si>
  <si>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</si>
  <si>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</si>
  <si>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</si>
  <si>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</si>
  <si>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</si>
  <si>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</si>
  <si>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</si>
  <si>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</si>
  <si>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</si>
  <si>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</si>
  <si>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</si>
  <si>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</si>
  <si>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</si>
  <si>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</si>
  <si>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</si>
  <si>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</si>
  <si>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</si>
  <si>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</si>
  <si>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</si>
  <si>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</si>
  <si>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</si>
  <si>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</si>
  <si>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</si>
  <si>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</si>
  <si>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</si>
  <si>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</si>
  <si>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</si>
  <si>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</si>
  <si>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</si>
  <si>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</si>
  <si>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</si>
  <si>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</si>
  <si>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</si>
  <si>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</si>
  <si>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</si>
  <si>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</si>
  <si>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</si>
  <si>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</si>
  <si>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</si>
  <si>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</si>
  <si>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</si>
  <si>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</si>
  <si>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</si>
  <si>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</si>
  <si>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</si>
  <si>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</si>
  <si>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</si>
  <si>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</si>
  <si>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</si>
  <si>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</si>
  <si>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</si>
  <si>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</si>
  <si>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</si>
  <si>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</si>
  <si>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</si>
  <si>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</si>
  <si>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</si>
  <si>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</si>
  <si>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</si>
  <si>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</si>
  <si>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</si>
  <si>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</si>
  <si>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</si>
  <si>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</si>
  <si>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</si>
  <si>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</si>
  <si>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</si>
  <si>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</si>
  <si>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</si>
  <si>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</si>
  <si>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</si>
  <si>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</si>
  <si>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</si>
  <si>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</si>
  <si>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</si>
  <si>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</si>
  <si>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</si>
  <si>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</si>
  <si>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</si>
  <si>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</si>
  <si>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</si>
  <si>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</si>
  <si>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</si>
  <si>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</si>
  <si>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</si>
  <si>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</si>
  <si>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</si>
  <si>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</si>
  <si>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</si>
  <si>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</si>
  <si>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</si>
  <si>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</si>
  <si>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</si>
  <si>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</si>
  <si>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</si>
  <si>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</si>
  <si>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</si>
  <si>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</si>
  <si>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</si>
  <si>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</si>
  <si>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</si>
  <si>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</si>
  <si>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</si>
  <si>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</si>
  <si>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</si>
  <si>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</si>
  <si>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</si>
  <si>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</si>
  <si>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</si>
  <si>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</si>
  <si>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</si>
  <si>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</si>
  <si>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</si>
  <si>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</si>
  <si>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</si>
  <si>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</si>
  <si>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</si>
  <si>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</si>
  <si>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</si>
  <si>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</si>
  <si>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</si>
  <si>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</si>
  <si>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</si>
  <si>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</si>
  <si>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</si>
  <si>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</si>
  <si>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</si>
  <si>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</si>
  <si>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</si>
  <si>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</si>
  <si>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</si>
  <si>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</si>
  <si>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</si>
  <si>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</si>
  <si>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</si>
  <si>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</si>
  <si>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</si>
  <si>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</si>
  <si>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</si>
  <si>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</si>
  <si>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</si>
  <si>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</si>
  <si>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</si>
  <si>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</si>
  <si>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</si>
  <si>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</si>
  <si>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</si>
  <si>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</si>
  <si>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</si>
  <si>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</si>
  <si>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</si>
  <si>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</si>
  <si>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</si>
  <si>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</si>
  <si>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</si>
  <si>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</si>
  <si>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</si>
  <si>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</si>
  <si>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</si>
  <si>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</si>
  <si>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</si>
  <si>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</si>
  <si>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</si>
  <si>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</si>
  <si>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</si>
  <si>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</si>
  <si>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</si>
  <si>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</si>
  <si>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</si>
  <si>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</si>
  <si>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</si>
  <si>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</si>
  <si>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</si>
  <si>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</si>
  <si>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</si>
  <si>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</si>
  <si>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</si>
  <si>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</si>
  <si>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</si>
  <si>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</si>
  <si>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</si>
  <si>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</si>
  <si>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</si>
  <si>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</si>
  <si>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</si>
  <si>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</si>
  <si>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</si>
  <si>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</si>
  <si>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</si>
  <si>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</si>
  <si>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</si>
  <si>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</si>
  <si>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</si>
  <si>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</si>
  <si>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</si>
  <si>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</si>
  <si>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</si>
  <si>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</si>
  <si>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</si>
  <si>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</si>
  <si>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</si>
  <si>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</si>
  <si>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</si>
  <si>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</si>
  <si>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</si>
  <si>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</si>
  <si>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</si>
  <si>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</si>
  <si>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</si>
  <si>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</si>
  <si>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</si>
  <si>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</si>
  <si>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</si>
  <si>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</si>
  <si>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</si>
  <si>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</si>
  <si>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</si>
  <si>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</si>
  <si>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</si>
  <si>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</si>
  <si>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</si>
  <si>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</si>
  <si>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</si>
  <si>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</si>
  <si>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</si>
  <si>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</si>
  <si>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</si>
  <si>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</si>
  <si>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</si>
  <si>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</si>
  <si>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</si>
  <si>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</si>
  <si>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</si>
  <si>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</si>
  <si>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</si>
  <si>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</si>
  <si>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</si>
  <si>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</si>
  <si>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</si>
  <si>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</si>
  <si>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</si>
  <si>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</si>
  <si>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</si>
  <si>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</si>
  <si>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</si>
  <si>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</si>
  <si>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</si>
  <si>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</si>
  <si>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</si>
  <si>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</si>
  <si>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</si>
  <si>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</si>
  <si>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</si>
  <si>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</si>
  <si>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</si>
  <si>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</si>
  <si>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</si>
  <si>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</si>
  <si>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</si>
  <si>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</si>
  <si>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</si>
  <si>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</si>
  <si>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</si>
  <si>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</si>
  <si>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</si>
  <si>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</si>
  <si>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</si>
  <si>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</si>
  <si>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</si>
  <si>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</si>
  <si>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</si>
  <si>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</si>
  <si>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</si>
  <si>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</si>
  <si>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</si>
  <si>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</si>
  <si>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</si>
  <si>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</si>
  <si>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</si>
  <si>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</si>
  <si>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</si>
  <si>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</si>
  <si>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</si>
  <si>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</si>
  <si>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</si>
  <si>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</si>
  <si>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</si>
  <si>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</si>
  <si>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</si>
  <si>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</si>
  <si>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</si>
  <si>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</si>
  <si>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</si>
  <si>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</si>
  <si>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</si>
  <si>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</si>
  <si>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</si>
  <si>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</si>
  <si>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</si>
  <si>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</si>
  <si>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</si>
  <si>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</si>
  <si>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</si>
  <si>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</si>
  <si>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</si>
  <si>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</si>
  <si>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</si>
  <si>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</si>
  <si>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</si>
  <si>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</si>
  <si>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</si>
  <si>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</si>
  <si>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</si>
  <si>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</si>
  <si>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</si>
  <si>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</si>
  <si>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</si>
  <si>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</si>
  <si>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</si>
  <si>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</si>
  <si>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</si>
  <si>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</si>
  <si>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</si>
  <si>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</si>
  <si>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</si>
  <si>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</si>
  <si>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</si>
  <si>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</si>
  <si>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</si>
  <si>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</si>
  <si>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</si>
  <si>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</si>
  <si>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</si>
  <si>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</si>
  <si>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</si>
  <si>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</si>
  <si>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</si>
  <si>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</si>
  <si>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</si>
  <si>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</si>
  <si>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</si>
  <si>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</si>
  <si>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</si>
  <si>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</si>
  <si>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</si>
  <si>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</si>
  <si>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</si>
  <si>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</si>
  <si>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</si>
  <si>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</si>
  <si>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</si>
  <si>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</si>
  <si>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</si>
  <si>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</si>
  <si>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</si>
  <si>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</si>
  <si>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</si>
  <si>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</si>
  <si>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</si>
  <si>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</si>
  <si>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</si>
  <si>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</si>
  <si>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</si>
  <si>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</si>
  <si>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</si>
  <si>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</si>
  <si>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</si>
  <si>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</si>
  <si>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</si>
  <si>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</si>
  <si>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</si>
  <si>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</si>
  <si>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</si>
  <si>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</si>
  <si>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</si>
  <si>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</si>
  <si>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</si>
  <si>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</si>
  <si>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</si>
  <si>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</si>
  <si>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</si>
  <si>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</si>
  <si>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</si>
  <si>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</si>
  <si>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</si>
  <si>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</si>
  <si>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</si>
  <si>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</si>
  <si>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</si>
  <si>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</si>
  <si>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</si>
  <si>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</si>
  <si>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</si>
  <si>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</si>
  <si>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</si>
  <si>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</si>
  <si>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</si>
  <si>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</si>
  <si>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</si>
  <si>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</si>
  <si>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</si>
  <si>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</si>
  <si>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</si>
  <si>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</si>
  <si>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</si>
  <si>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</si>
  <si>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</si>
  <si>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</si>
  <si>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</si>
  <si>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</si>
  <si>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</si>
  <si>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</si>
  <si>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</si>
  <si>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</si>
  <si>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</si>
  <si>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</si>
  <si>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</si>
  <si>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</si>
  <si>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</si>
  <si>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</si>
  <si>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</si>
  <si>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</si>
  <si>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</si>
  <si>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</si>
  <si>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</si>
  <si>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</si>
  <si>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</si>
  <si>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</si>
  <si>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</si>
  <si>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</si>
  <si>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</si>
  <si>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</si>
  <si>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</si>
  <si>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</si>
  <si>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</si>
  <si>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</si>
  <si>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</si>
  <si>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</si>
  <si>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</si>
  <si>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</si>
  <si>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</si>
  <si>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</si>
  <si>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</si>
  <si>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</si>
  <si>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</si>
  <si>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</si>
  <si>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</si>
  <si>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</si>
  <si>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</si>
  <si>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</si>
  <si>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</si>
  <si>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</si>
  <si>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</si>
  <si>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</si>
  <si>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</si>
  <si>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</si>
  <si>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</si>
  <si>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</si>
  <si>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</si>
  <si>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</si>
  <si>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</si>
  <si>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</si>
  <si>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</si>
  <si>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</si>
  <si>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</si>
  <si>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</si>
  <si>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</si>
  <si>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</si>
  <si>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</si>
  <si>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</si>
  <si>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</si>
  <si>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</si>
  <si>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</si>
  <si>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</si>
  <si>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</si>
  <si>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</si>
  <si>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</si>
  <si>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</si>
  <si>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</si>
  <si>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</si>
  <si>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</si>
  <si>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</si>
  <si>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</si>
  <si>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</si>
  <si>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</si>
  <si>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</si>
  <si>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</si>
  <si>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</si>
  <si>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</si>
  <si>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</si>
  <si>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</si>
  <si>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</si>
  <si>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</si>
  <si>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</si>
  <si>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</si>
  <si>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</si>
  <si>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</si>
  <si>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</si>
  <si>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</si>
  <si>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</si>
  <si>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</si>
  <si>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</si>
  <si>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</si>
  <si>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</si>
  <si>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</si>
  <si>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</si>
  <si>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</si>
  <si>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</si>
  <si>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</si>
  <si>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</si>
  <si>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</si>
  <si>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</si>
  <si>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</si>
  <si>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</si>
  <si>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</si>
  <si>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</si>
  <si>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</si>
  <si>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</si>
  <si>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</si>
  <si>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</si>
  <si>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</si>
  <si>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</si>
  <si>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</si>
  <si>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</si>
  <si>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</si>
  <si>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</si>
  <si>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</si>
  <si>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</si>
  <si>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</si>
  <si>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</si>
  <si>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</si>
  <si>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</si>
  <si>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</si>
  <si>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CJ6-T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</si>
  <si>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</si>
  <si>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</si>
  <si>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</si>
  <si>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</si>
  <si>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</si>
  <si>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</si>
  <si>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CM5-9</t>
  </si>
  <si>
    <t>CJ5-T</t>
  </si>
  <si>
    <t>C12-200</t>
  </si>
  <si>
    <t>CG105</t>
  </si>
  <si>
    <t>B2</t>
  </si>
  <si>
    <t>KOORDINAT : -6.872212, 110.568884</t>
  </si>
  <si>
    <t>EKSISTING : TRF 25 KVA</t>
  </si>
  <si>
    <t>Pelanggan Umum , ukuran 63+59</t>
  </si>
  <si>
    <t>jtr Ukuran 25 mm</t>
  </si>
  <si>
    <t>tiang pendek, dan sudah sangat tua</t>
  </si>
  <si>
    <t>DS KARANGREJO, KEC BONANG</t>
  </si>
  <si>
    <t>Demak, 21 Februari 2024</t>
  </si>
  <si>
    <t>MANAGER ULP</t>
  </si>
  <si>
    <t>AHMAD SUHENDRO</t>
  </si>
  <si>
    <t>Staf teknik</t>
  </si>
  <si>
    <t>TL Teknik</t>
  </si>
  <si>
    <t>MULP</t>
  </si>
  <si>
    <t>Mbag Ren</t>
  </si>
  <si>
    <t>IOH-14DMK0153-KARANGREJO-BONANG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</si>
</sst>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41" fontId="21" fillId="0" borderId="0" applyFont="0" applyFill="0" applyBorder="0" applyAlignment="0" applyProtection="0"/>
    <xf numFmtId="0" fontId="4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43" fontId="21" fillId="0" borderId="0" applyFont="0" applyFill="0" applyBorder="0" applyAlignment="0" applyProtection="0"/>
  </cellStyleXfs>
  <cellXfs count="719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1" fillId="0" borderId="21" xfId="1451" applyBorder="1" applyAlignment="1">
      <alignment horizontal="center" wrapText="1"/>
    </xf>
    <xf numFmtId="0" fontId="21" fillId="0" borderId="21" xfId="1451" applyBorder="1" applyAlignment="1">
      <alignment horizontal="center" vertical="center" wrapText="1"/>
    </xf>
    <xf numFmtId="3" fontId="114" fillId="0" borderId="21" xfId="1451" applyNumberFormat="1" applyFont="1" applyBorder="1" applyAlignment="1">
      <alignment horizontal="center" vertical="center" wrapText="1"/>
    </xf>
    <xf numFmtId="0" fontId="128" fillId="48" borderId="21" xfId="1652" applyFont="1" applyFill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76" fillId="33" borderId="0" xfId="0" applyFont="1" applyFill="1" applyAlignment="1">
      <alignment horizontal="left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20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110</xdr:row>
      <xdr:rowOff>81642</xdr:rowOff>
    </xdr:from>
    <xdr:to>
      <xdr:col>12</xdr:col>
      <xdr:colOff>41108</xdr:colOff>
      <xdr:row>113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59121</xdr:colOff>
      <xdr:row>25</xdr:row>
      <xdr:rowOff>39414</xdr:rowOff>
    </xdr:from>
    <xdr:to>
      <xdr:col>18</xdr:col>
      <xdr:colOff>279039</xdr:colOff>
      <xdr:row>25</xdr:row>
      <xdr:rowOff>57980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1891862" y="3855983"/>
          <a:ext cx="4791918" cy="1856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91109</xdr:colOff>
      <xdr:row>17</xdr:row>
      <xdr:rowOff>8283</xdr:rowOff>
    </xdr:from>
    <xdr:to>
      <xdr:col>18</xdr:col>
      <xdr:colOff>112193</xdr:colOff>
      <xdr:row>38</xdr:row>
      <xdr:rowOff>754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H="1" flipV="1">
          <a:off x="6501848" y="2592457"/>
          <a:ext cx="21084" cy="314814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314911</xdr:colOff>
      <xdr:row>25</xdr:row>
      <xdr:rowOff>24685</xdr:rowOff>
    </xdr:from>
    <xdr:to>
      <xdr:col>6</xdr:col>
      <xdr:colOff>319881</xdr:colOff>
      <xdr:row>35</xdr:row>
      <xdr:rowOff>53409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 flipV="1">
          <a:off x="2147652" y="3841254"/>
          <a:ext cx="4970" cy="153301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194067</xdr:colOff>
      <xdr:row>25</xdr:row>
      <xdr:rowOff>120567</xdr:rowOff>
    </xdr:from>
    <xdr:to>
      <xdr:col>11</xdr:col>
      <xdr:colOff>278967</xdr:colOff>
      <xdr:row>26</xdr:row>
      <xdr:rowOff>67478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3937806" y="3897437"/>
          <a:ext cx="84900" cy="9599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306457</xdr:colOff>
      <xdr:row>22</xdr:row>
      <xdr:rowOff>16565</xdr:rowOff>
    </xdr:from>
    <xdr:to>
      <xdr:col>17</xdr:col>
      <xdr:colOff>314739</xdr:colOff>
      <xdr:row>33</xdr:row>
      <xdr:rowOff>107674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/>
      </xdr:nvCxnSpPr>
      <xdr:spPr>
        <a:xfrm flipV="1">
          <a:off x="6336196" y="3346174"/>
          <a:ext cx="8282" cy="1722783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198408</xdr:colOff>
      <xdr:row>33</xdr:row>
      <xdr:rowOff>52946</xdr:rowOff>
    </xdr:from>
    <xdr:to>
      <xdr:col>6</xdr:col>
      <xdr:colOff>171079</xdr:colOff>
      <xdr:row>35</xdr:row>
      <xdr:rowOff>49695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1650149" y="5071636"/>
          <a:ext cx="353671" cy="29892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17</xdr:col>
      <xdr:colOff>235012</xdr:colOff>
      <xdr:row>25</xdr:row>
      <xdr:rowOff>32566</xdr:rowOff>
    </xdr:from>
    <xdr:to>
      <xdr:col>17</xdr:col>
      <xdr:colOff>377887</xdr:colOff>
      <xdr:row>26</xdr:row>
      <xdr:rowOff>32565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6255815" y="3822513"/>
          <a:ext cx="142875" cy="150394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260312</xdr:colOff>
      <xdr:row>26</xdr:row>
      <xdr:rowOff>69692</xdr:rowOff>
    </xdr:from>
    <xdr:to>
      <xdr:col>17</xdr:col>
      <xdr:colOff>348678</xdr:colOff>
      <xdr:row>27</xdr:row>
      <xdr:rowOff>15674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9CAC000-3813-4E82-9BF9-03690A6CA1DF}"/>
            </a:ext>
          </a:extLst>
        </xdr:cNvPr>
        <xdr:cNvGrpSpPr/>
      </xdr:nvGrpSpPr>
      <xdr:grpSpPr>
        <a:xfrm>
          <a:off x="6290051" y="3995649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BF610E76-B3CC-6A82-BA3A-57CA9F5DD2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FE911FD2-F4C1-06EF-D695-E16CAFEE2DF3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886EC16-0AAC-B80A-9EBD-F1BCC6B91B5A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57868</xdr:colOff>
      <xdr:row>22</xdr:row>
      <xdr:rowOff>67654</xdr:rowOff>
    </xdr:from>
    <xdr:to>
      <xdr:col>19</xdr:col>
      <xdr:colOff>249622</xdr:colOff>
      <xdr:row>27</xdr:row>
      <xdr:rowOff>111673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6462609" y="3430964"/>
          <a:ext cx="572754" cy="79945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C12-200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1 CA1 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CM5-9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304986</xdr:colOff>
      <xdr:row>26</xdr:row>
      <xdr:rowOff>86826</xdr:rowOff>
    </xdr:from>
    <xdr:to>
      <xdr:col>17</xdr:col>
      <xdr:colOff>200526</xdr:colOff>
      <xdr:row>27</xdr:row>
      <xdr:rowOff>124240</xdr:rowOff>
    </xdr:to>
    <xdr:sp macro="" textlink="">
      <xdr:nvSpPr>
        <xdr:cNvPr id="179" name="Rectangle 178">
          <a:extLst>
            <a:ext uri="{FF2B5EF4-FFF2-40B4-BE49-F238E27FC236}">
              <a16:creationId xmlns:a16="http://schemas.microsoft.com/office/drawing/2014/main" id="{0D0192A0-5BC6-47F5-9B4A-0C527FD1BC06}"/>
            </a:ext>
          </a:extLst>
        </xdr:cNvPr>
        <xdr:cNvSpPr/>
      </xdr:nvSpPr>
      <xdr:spPr>
        <a:xfrm>
          <a:off x="5944789" y="4027168"/>
          <a:ext cx="276540" cy="18780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14</xdr:col>
      <xdr:colOff>364369</xdr:colOff>
      <xdr:row>26</xdr:row>
      <xdr:rowOff>81870</xdr:rowOff>
    </xdr:from>
    <xdr:to>
      <xdr:col>15</xdr:col>
      <xdr:colOff>310072</xdr:colOff>
      <xdr:row>27</xdr:row>
      <xdr:rowOff>123284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719EE781-3307-4489-B375-CB5C27A62D68}"/>
            </a:ext>
          </a:extLst>
        </xdr:cNvPr>
        <xdr:cNvSpPr/>
      </xdr:nvSpPr>
      <xdr:spPr>
        <a:xfrm>
          <a:off x="5247674" y="4096309"/>
          <a:ext cx="326703" cy="19474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134250</xdr:colOff>
      <xdr:row>26</xdr:row>
      <xdr:rowOff>117187</xdr:rowOff>
    </xdr:from>
    <xdr:to>
      <xdr:col>16</xdr:col>
      <xdr:colOff>222616</xdr:colOff>
      <xdr:row>27</xdr:row>
      <xdr:rowOff>66482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A8570CBA-19D9-4774-9B0D-8D50DBF16560}"/>
            </a:ext>
          </a:extLst>
        </xdr:cNvPr>
        <xdr:cNvGrpSpPr/>
      </xdr:nvGrpSpPr>
      <xdr:grpSpPr>
        <a:xfrm>
          <a:off x="5782989" y="4043144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5B28F82E-DD29-40FE-7AB8-1469CF155BB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3A4B3F3A-5A93-A211-5EF8-CEE7D7CA570F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7F7ADC67-897F-182D-781A-5848CE86DCB3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375038</xdr:colOff>
      <xdr:row>26</xdr:row>
      <xdr:rowOff>131459</xdr:rowOff>
    </xdr:from>
    <xdr:to>
      <xdr:col>14</xdr:col>
      <xdr:colOff>82404</xdr:colOff>
      <xdr:row>27</xdr:row>
      <xdr:rowOff>77441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CA93CEDC-AB20-40A5-9ED1-C692FE17A759}"/>
            </a:ext>
          </a:extLst>
        </xdr:cNvPr>
        <xdr:cNvGrpSpPr/>
      </xdr:nvGrpSpPr>
      <xdr:grpSpPr>
        <a:xfrm>
          <a:off x="4880777" y="4057416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7" name="Oval 186">
            <a:extLst>
              <a:ext uri="{FF2B5EF4-FFF2-40B4-BE49-F238E27FC236}">
                <a16:creationId xmlns:a16="http://schemas.microsoft.com/office/drawing/2014/main" id="{9F794644-9D28-3437-BD74-0A8A0467B28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3CDF7AFB-6F29-4A89-9F2E-84C2B84E65AD}"/>
              </a:ext>
            </a:extLst>
          </xdr:cNvPr>
          <xdr:cNvCxnSpPr>
            <a:stCxn id="187" idx="1"/>
            <a:endCxn id="1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AB872ABF-01E9-372F-5640-AAE18D7D9ABF}"/>
              </a:ext>
            </a:extLst>
          </xdr:cNvPr>
          <xdr:cNvCxnSpPr>
            <a:stCxn id="187" idx="3"/>
            <a:endCxn id="1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203894</xdr:colOff>
      <xdr:row>26</xdr:row>
      <xdr:rowOff>122380</xdr:rowOff>
    </xdr:from>
    <xdr:to>
      <xdr:col>11</xdr:col>
      <xdr:colOff>292260</xdr:colOff>
      <xdr:row>27</xdr:row>
      <xdr:rowOff>64119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3947633" y="4048337"/>
          <a:ext cx="88366" cy="90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377173</xdr:colOff>
      <xdr:row>26</xdr:row>
      <xdr:rowOff>18145</xdr:rowOff>
    </xdr:from>
    <xdr:to>
      <xdr:col>9</xdr:col>
      <xdr:colOff>84539</xdr:colOff>
      <xdr:row>26</xdr:row>
      <xdr:rowOff>115213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2977912" y="3944102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50773</xdr:colOff>
      <xdr:row>26</xdr:row>
      <xdr:rowOff>54664</xdr:rowOff>
    </xdr:from>
    <xdr:to>
      <xdr:col>7</xdr:col>
      <xdr:colOff>139139</xdr:colOff>
      <xdr:row>27</xdr:row>
      <xdr:rowOff>3959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2270512" y="3980621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208775</xdr:colOff>
      <xdr:row>25</xdr:row>
      <xdr:rowOff>148050</xdr:rowOff>
    </xdr:from>
    <xdr:to>
      <xdr:col>17</xdr:col>
      <xdr:colOff>304495</xdr:colOff>
      <xdr:row>26</xdr:row>
      <xdr:rowOff>69692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D981E6D0-CF14-4261-8828-970A53F8BDBC}"/>
            </a:ext>
          </a:extLst>
        </xdr:cNvPr>
        <xdr:cNvCxnSpPr>
          <a:stCxn id="16" idx="7"/>
          <a:endCxn id="77" idx="0"/>
        </xdr:cNvCxnSpPr>
      </xdr:nvCxnSpPr>
      <xdr:spPr>
        <a:xfrm>
          <a:off x="5851516" y="3964619"/>
          <a:ext cx="476720" cy="7272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270056</xdr:colOff>
      <xdr:row>25</xdr:row>
      <xdr:rowOff>141894</xdr:rowOff>
    </xdr:from>
    <xdr:to>
      <xdr:col>17</xdr:col>
      <xdr:colOff>195513</xdr:colOff>
      <xdr:row>27</xdr:row>
      <xdr:rowOff>28914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E20B9A60-49F2-4019-AEC6-52144D76CCAB}"/>
            </a:ext>
          </a:extLst>
        </xdr:cNvPr>
        <xdr:cNvSpPr/>
      </xdr:nvSpPr>
      <xdr:spPr>
        <a:xfrm>
          <a:off x="5909859" y="3931841"/>
          <a:ext cx="306457" cy="18781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281178</xdr:colOff>
      <xdr:row>25</xdr:row>
      <xdr:rowOff>68691</xdr:rowOff>
    </xdr:from>
    <xdr:to>
      <xdr:col>10</xdr:col>
      <xdr:colOff>241195</xdr:colOff>
      <xdr:row>26</xdr:row>
      <xdr:rowOff>104106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A6EBD15B-A1FB-4B76-BBC5-C4DCE8FBB262}"/>
            </a:ext>
          </a:extLst>
        </xdr:cNvPr>
        <xdr:cNvSpPr/>
      </xdr:nvSpPr>
      <xdr:spPr>
        <a:xfrm>
          <a:off x="3256919" y="3885260"/>
          <a:ext cx="341017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371006</xdr:colOff>
      <xdr:row>23</xdr:row>
      <xdr:rowOff>65691</xdr:rowOff>
    </xdr:from>
    <xdr:to>
      <xdr:col>12</xdr:col>
      <xdr:colOff>105962</xdr:colOff>
      <xdr:row>25</xdr:row>
      <xdr:rowOff>98821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F2646D0A-8BBD-4B22-99A2-FFB1460A2188}"/>
            </a:ext>
          </a:extLst>
        </xdr:cNvPr>
        <xdr:cNvSpPr/>
      </xdr:nvSpPr>
      <xdr:spPr>
        <a:xfrm>
          <a:off x="3727747" y="3580088"/>
          <a:ext cx="496956" cy="335302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2 CJ5-T</a:t>
          </a:r>
        </a:p>
      </xdr:txBody>
    </xdr:sp>
    <xdr:clientData/>
  </xdr:twoCellAnchor>
  <xdr:twoCellAnchor>
    <xdr:from>
      <xdr:col>16</xdr:col>
      <xdr:colOff>209675</xdr:colOff>
      <xdr:row>27</xdr:row>
      <xdr:rowOff>15674</xdr:rowOff>
    </xdr:from>
    <xdr:to>
      <xdr:col>17</xdr:col>
      <xdr:colOff>304495</xdr:colOff>
      <xdr:row>27</xdr:row>
      <xdr:rowOff>51453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675F6835-F7F2-44BD-B4FE-514C01C56ED6}"/>
            </a:ext>
          </a:extLst>
        </xdr:cNvPr>
        <xdr:cNvCxnSpPr>
          <a:stCxn id="183" idx="5"/>
          <a:endCxn id="77" idx="4"/>
        </xdr:cNvCxnSpPr>
      </xdr:nvCxnSpPr>
      <xdr:spPr>
        <a:xfrm flipV="1">
          <a:off x="5854980" y="4183442"/>
          <a:ext cx="475820" cy="35779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40356</xdr:colOff>
      <xdr:row>26</xdr:row>
      <xdr:rowOff>115213</xdr:rowOff>
    </xdr:from>
    <xdr:to>
      <xdr:col>11</xdr:col>
      <xdr:colOff>203894</xdr:colOff>
      <xdr:row>27</xdr:row>
      <xdr:rowOff>17707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1233A44-8633-4795-93E0-258113A5A847}"/>
            </a:ext>
          </a:extLst>
        </xdr:cNvPr>
        <xdr:cNvCxnSpPr>
          <a:stCxn id="191" idx="2"/>
          <a:endCxn id="195" idx="4"/>
        </xdr:cNvCxnSpPr>
      </xdr:nvCxnSpPr>
      <xdr:spPr>
        <a:xfrm flipH="1" flipV="1">
          <a:off x="3016097" y="4082868"/>
          <a:ext cx="925538" cy="5358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239623</xdr:colOff>
      <xdr:row>25</xdr:row>
      <xdr:rowOff>141949</xdr:rowOff>
    </xdr:from>
    <xdr:to>
      <xdr:col>8</xdr:col>
      <xdr:colOff>193641</xdr:colOff>
      <xdr:row>27</xdr:row>
      <xdr:rowOff>28278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B047846-2D9E-4BDB-8527-7DC1A3640F12}"/>
            </a:ext>
          </a:extLst>
        </xdr:cNvPr>
        <xdr:cNvSpPr/>
      </xdr:nvSpPr>
      <xdr:spPr>
        <a:xfrm rot="21447630">
          <a:off x="2453364" y="3958518"/>
          <a:ext cx="335018" cy="188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12</xdr:col>
      <xdr:colOff>223631</xdr:colOff>
      <xdr:row>26</xdr:row>
      <xdr:rowOff>74544</xdr:rowOff>
    </xdr:from>
    <xdr:to>
      <xdr:col>13</xdr:col>
      <xdr:colOff>177649</xdr:colOff>
      <xdr:row>27</xdr:row>
      <xdr:rowOff>111959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3344EDD-D6F0-48D9-9A3E-304F5A8A9074}"/>
            </a:ext>
          </a:extLst>
        </xdr:cNvPr>
        <xdr:cNvSpPr/>
      </xdr:nvSpPr>
      <xdr:spPr>
        <a:xfrm rot="21447630">
          <a:off x="4348370" y="4000501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10</xdr:col>
      <xdr:colOff>38842</xdr:colOff>
      <xdr:row>26</xdr:row>
      <xdr:rowOff>63119</xdr:rowOff>
    </xdr:from>
    <xdr:to>
      <xdr:col>10</xdr:col>
      <xdr:colOff>373860</xdr:colOff>
      <xdr:row>27</xdr:row>
      <xdr:rowOff>100534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AD6609C-CE9A-4BA7-BC7D-754A023D9C51}"/>
            </a:ext>
          </a:extLst>
        </xdr:cNvPr>
        <xdr:cNvSpPr/>
      </xdr:nvSpPr>
      <xdr:spPr>
        <a:xfrm rot="21447630">
          <a:off x="3395583" y="4030774"/>
          <a:ext cx="335018" cy="188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14</xdr:col>
      <xdr:colOff>164224</xdr:colOff>
      <xdr:row>26</xdr:row>
      <xdr:rowOff>25134</xdr:rowOff>
    </xdr:from>
    <xdr:to>
      <xdr:col>16</xdr:col>
      <xdr:colOff>107673</xdr:colOff>
      <xdr:row>29</xdr:row>
      <xdr:rowOff>137948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97D337A-9E1B-41D1-9E74-D357397C2AA4}"/>
            </a:ext>
          </a:extLst>
        </xdr:cNvPr>
        <xdr:cNvSpPr/>
      </xdr:nvSpPr>
      <xdr:spPr>
        <a:xfrm>
          <a:off x="5044965" y="3992789"/>
          <a:ext cx="705449" cy="566073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MASJID</a:t>
          </a:r>
        </a:p>
      </xdr:txBody>
    </xdr:sp>
    <xdr:clientData/>
  </xdr:twoCellAnchor>
  <xdr:twoCellAnchor>
    <xdr:from>
      <xdr:col>14</xdr:col>
      <xdr:colOff>32365</xdr:colOff>
      <xdr:row>25</xdr:row>
      <xdr:rowOff>146442</xdr:rowOff>
    </xdr:from>
    <xdr:to>
      <xdr:col>16</xdr:col>
      <xdr:colOff>146291</xdr:colOff>
      <xdr:row>25</xdr:row>
      <xdr:rowOff>148379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1EC3DD7B-B5DC-4D2D-8D04-01A3A9A5DE39}"/>
            </a:ext>
          </a:extLst>
        </xdr:cNvPr>
        <xdr:cNvCxnSpPr>
          <a:stCxn id="53" idx="0"/>
          <a:endCxn id="16" idx="1"/>
        </xdr:cNvCxnSpPr>
      </xdr:nvCxnSpPr>
      <xdr:spPr>
        <a:xfrm>
          <a:off x="4915670" y="4007552"/>
          <a:ext cx="875926" cy="1937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240195</xdr:colOff>
      <xdr:row>25</xdr:row>
      <xdr:rowOff>124239</xdr:rowOff>
    </xdr:from>
    <xdr:to>
      <xdr:col>13</xdr:col>
      <xdr:colOff>194213</xdr:colOff>
      <xdr:row>27</xdr:row>
      <xdr:rowOff>12567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8539D551-DE1D-4E80-B342-B5FD7FFED797}"/>
            </a:ext>
          </a:extLst>
        </xdr:cNvPr>
        <xdr:cNvSpPr/>
      </xdr:nvSpPr>
      <xdr:spPr>
        <a:xfrm>
          <a:off x="4364934" y="3901109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14</xdr:col>
      <xdr:colOff>339587</xdr:colOff>
      <xdr:row>25</xdr:row>
      <xdr:rowOff>124239</xdr:rowOff>
    </xdr:from>
    <xdr:to>
      <xdr:col>15</xdr:col>
      <xdr:colOff>293605</xdr:colOff>
      <xdr:row>27</xdr:row>
      <xdr:rowOff>12567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F9B7247B-60D1-41E3-8E63-C456F49423A4}"/>
            </a:ext>
          </a:extLst>
        </xdr:cNvPr>
        <xdr:cNvSpPr/>
      </xdr:nvSpPr>
      <xdr:spPr>
        <a:xfrm>
          <a:off x="5226326" y="3901109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71598</xdr:colOff>
      <xdr:row>25</xdr:row>
      <xdr:rowOff>134918</xdr:rowOff>
    </xdr:from>
    <xdr:to>
      <xdr:col>11</xdr:col>
      <xdr:colOff>206500</xdr:colOff>
      <xdr:row>26</xdr:row>
      <xdr:rowOff>32360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56734E72-0636-42E6-89AA-DCCA7359AA4A}"/>
            </a:ext>
          </a:extLst>
        </xdr:cNvPr>
        <xdr:cNvCxnSpPr>
          <a:stCxn id="195" idx="7"/>
          <a:endCxn id="66" idx="1"/>
        </xdr:cNvCxnSpPr>
      </xdr:nvCxnSpPr>
      <xdr:spPr>
        <a:xfrm flipV="1">
          <a:off x="3047339" y="3951487"/>
          <a:ext cx="896902" cy="4852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207921</xdr:colOff>
      <xdr:row>21</xdr:row>
      <xdr:rowOff>93679</xdr:rowOff>
    </xdr:from>
    <xdr:to>
      <xdr:col>9</xdr:col>
      <xdr:colOff>323877</xdr:colOff>
      <xdr:row>24</xdr:row>
      <xdr:rowOff>93677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3E4CB9B3-217F-434E-B74C-DC852962248C}"/>
            </a:ext>
          </a:extLst>
        </xdr:cNvPr>
        <xdr:cNvSpPr/>
      </xdr:nvSpPr>
      <xdr:spPr>
        <a:xfrm>
          <a:off x="2802662" y="3305903"/>
          <a:ext cx="496956" cy="453257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2</a:t>
          </a:r>
          <a:r>
            <a:rPr lang="en-US" sz="600" baseline="0">
              <a:solidFill>
                <a:sysClr val="windowText" lastClr="000000"/>
              </a:solidFill>
            </a:rPr>
            <a:t> CJ5-T</a:t>
          </a:r>
        </a:p>
        <a:p>
          <a:pPr algn="l"/>
          <a:r>
            <a:rPr lang="en-US" sz="600" baseline="0">
              <a:solidFill>
                <a:sysClr val="windowText" lastClr="000000"/>
              </a:solidFill>
            </a:rPr>
            <a:t>1 CJ6-T</a:t>
          </a:r>
          <a:endParaRPr lang="en-US" sz="600">
            <a:solidFill>
              <a:sysClr val="windowText" lastClr="00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6</xdr:col>
      <xdr:colOff>168996</xdr:colOff>
      <xdr:row>24</xdr:row>
      <xdr:rowOff>57547</xdr:rowOff>
    </xdr:from>
    <xdr:to>
      <xdr:col>7</xdr:col>
      <xdr:colOff>269327</xdr:colOff>
      <xdr:row>26</xdr:row>
      <xdr:rowOff>45983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C22DCEB5-8423-457E-A550-308D72C1FC42}"/>
            </a:ext>
          </a:extLst>
        </xdr:cNvPr>
        <xdr:cNvSpPr/>
      </xdr:nvSpPr>
      <xdr:spPr>
        <a:xfrm>
          <a:off x="2001737" y="3723030"/>
          <a:ext cx="481331" cy="29060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 baseline="0">
              <a:solidFill>
                <a:sysClr val="windowText" lastClr="000000"/>
              </a:solidFill>
            </a:rPr>
            <a:t>1 CJ6-T</a:t>
          </a:r>
        </a:p>
      </xdr:txBody>
    </xdr:sp>
    <xdr:clientData/>
  </xdr:twoCellAnchor>
  <xdr:twoCellAnchor>
    <xdr:from>
      <xdr:col>5</xdr:col>
      <xdr:colOff>375244</xdr:colOff>
      <xdr:row>26</xdr:row>
      <xdr:rowOff>104855</xdr:rowOff>
    </xdr:from>
    <xdr:to>
      <xdr:col>7</xdr:col>
      <xdr:colOff>50773</xdr:colOff>
      <xdr:row>33</xdr:row>
      <xdr:rowOff>52946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34" idx="0"/>
          <a:endCxn id="199" idx="2"/>
        </xdr:cNvCxnSpPr>
      </xdr:nvCxnSpPr>
      <xdr:spPr>
        <a:xfrm flipV="1">
          <a:off x="1826985" y="4072510"/>
          <a:ext cx="437529" cy="999126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322011</xdr:colOff>
      <xdr:row>27</xdr:row>
      <xdr:rowOff>111804</xdr:rowOff>
    </xdr:from>
    <xdr:to>
      <xdr:col>17</xdr:col>
      <xdr:colOff>56967</xdr:colOff>
      <xdr:row>30</xdr:row>
      <xdr:rowOff>39414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5EDF21D7-F06D-4DCA-BE7B-6F3B95363D33}"/>
            </a:ext>
          </a:extLst>
        </xdr:cNvPr>
        <xdr:cNvSpPr/>
      </xdr:nvSpPr>
      <xdr:spPr>
        <a:xfrm>
          <a:off x="5583752" y="4230545"/>
          <a:ext cx="496956" cy="3743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2</a:t>
          </a:r>
          <a:r>
            <a:rPr lang="en-US" sz="600" baseline="0">
              <a:solidFill>
                <a:sysClr val="windowText" lastClr="000000"/>
              </a:solidFill>
            </a:rPr>
            <a:t> CJ5-T</a:t>
          </a:r>
        </a:p>
        <a:p>
          <a:pPr algn="l"/>
          <a:r>
            <a:rPr lang="en-US" sz="600" baseline="0">
              <a:solidFill>
                <a:sysClr val="windowText" lastClr="000000"/>
              </a:solidFill>
            </a:rPr>
            <a:t>1 CJ6-T</a:t>
          </a:r>
          <a:endParaRPr lang="en-US" sz="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317908</xdr:colOff>
      <xdr:row>42</xdr:row>
      <xdr:rowOff>78441</xdr:rowOff>
    </xdr:from>
    <xdr:to>
      <xdr:col>21</xdr:col>
      <xdr:colOff>293108</xdr:colOff>
      <xdr:row>54</xdr:row>
      <xdr:rowOff>39222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61FEE-CFD5-61E9-A07A-AA4990BEC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2673" y="6656294"/>
          <a:ext cx="3023200" cy="1933016"/>
        </a:xfrm>
        <a:prstGeom prst="rect">
          <a:avLst/>
        </a:prstGeom>
      </xdr:spPr>
    </xdr:pic>
    <xdr:clientData/>
  </xdr:twoCellAnchor>
  <xdr:twoCellAnchor>
    <xdr:from>
      <xdr:col>16</xdr:col>
      <xdr:colOff>133350</xdr:colOff>
      <xdr:row>25</xdr:row>
      <xdr:rowOff>133350</xdr:rowOff>
    </xdr:from>
    <xdr:to>
      <xdr:col>16</xdr:col>
      <xdr:colOff>221716</xdr:colOff>
      <xdr:row>26</xdr:row>
      <xdr:rowOff>82645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A115E4E-2677-4034-BCD5-18D023E9EA93}"/>
            </a:ext>
          </a:extLst>
        </xdr:cNvPr>
        <xdr:cNvGrpSpPr/>
      </xdr:nvGrpSpPr>
      <xdr:grpSpPr>
        <a:xfrm>
          <a:off x="5782089" y="3910220"/>
          <a:ext cx="88366" cy="9838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" name="Oval 15">
            <a:extLst>
              <a:ext uri="{FF2B5EF4-FFF2-40B4-BE49-F238E27FC236}">
                <a16:creationId xmlns:a16="http://schemas.microsoft.com/office/drawing/2014/main" id="{60285146-9AE9-C283-5B6D-03C1D444902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FFC6AFE7-CA5E-97F6-28DD-5765969F63B1}"/>
              </a:ext>
            </a:extLst>
          </xdr:cNvPr>
          <xdr:cNvCxnSpPr>
            <a:stCxn id="16" idx="1"/>
            <a:endCxn id="1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56D1C0A1-B887-794A-DAC8-3392DFD011B4}"/>
              </a:ext>
            </a:extLst>
          </xdr:cNvPr>
          <xdr:cNvCxnSpPr>
            <a:stCxn id="16" idx="3"/>
            <a:endCxn id="1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120804</xdr:colOff>
      <xdr:row>26</xdr:row>
      <xdr:rowOff>26670</xdr:rowOff>
    </xdr:from>
    <xdr:to>
      <xdr:col>14</xdr:col>
      <xdr:colOff>144779</xdr:colOff>
      <xdr:row>29</xdr:row>
      <xdr:rowOff>139484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D889499-611F-4F11-9AE1-84F637521993}"/>
            </a:ext>
          </a:extLst>
        </xdr:cNvPr>
        <xdr:cNvSpPr/>
      </xdr:nvSpPr>
      <xdr:spPr>
        <a:xfrm>
          <a:off x="3861109" y="4041109"/>
          <a:ext cx="1166975" cy="572802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SD</a:t>
          </a:r>
        </a:p>
      </xdr:txBody>
    </xdr:sp>
    <xdr:clientData/>
  </xdr:twoCellAnchor>
  <xdr:twoCellAnchor>
    <xdr:from>
      <xdr:col>14</xdr:col>
      <xdr:colOff>82404</xdr:colOff>
      <xdr:row>27</xdr:row>
      <xdr:rowOff>15170</xdr:rowOff>
    </xdr:from>
    <xdr:to>
      <xdr:col>16</xdr:col>
      <xdr:colOff>134250</xdr:colOff>
      <xdr:row>27</xdr:row>
      <xdr:rowOff>27786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321E744C-D67C-48CE-B0EF-F377E0C836A7}"/>
            </a:ext>
          </a:extLst>
        </xdr:cNvPr>
        <xdr:cNvCxnSpPr>
          <a:stCxn id="187" idx="6"/>
          <a:endCxn id="183" idx="2"/>
        </xdr:cNvCxnSpPr>
      </xdr:nvCxnSpPr>
      <xdr:spPr>
        <a:xfrm flipV="1">
          <a:off x="4965709" y="4182938"/>
          <a:ext cx="813846" cy="12616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292260</xdr:colOff>
      <xdr:row>27</xdr:row>
      <xdr:rowOff>16585</xdr:rowOff>
    </xdr:from>
    <xdr:to>
      <xdr:col>13</xdr:col>
      <xdr:colOff>375038</xdr:colOff>
      <xdr:row>27</xdr:row>
      <xdr:rowOff>27786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45192DEF-55CF-4AC3-B867-6BFD47BEAE53}"/>
            </a:ext>
          </a:extLst>
        </xdr:cNvPr>
        <xdr:cNvCxnSpPr>
          <a:stCxn id="191" idx="6"/>
          <a:endCxn id="187" idx="2"/>
        </xdr:cNvCxnSpPr>
      </xdr:nvCxnSpPr>
      <xdr:spPr>
        <a:xfrm>
          <a:off x="4032565" y="4184353"/>
          <a:ext cx="844778" cy="1120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370915</xdr:colOff>
      <xdr:row>25</xdr:row>
      <xdr:rowOff>146442</xdr:rowOff>
    </xdr:from>
    <xdr:to>
      <xdr:col>14</xdr:col>
      <xdr:colOff>74815</xdr:colOff>
      <xdr:row>26</xdr:row>
      <xdr:rowOff>92424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39427BCB-5273-48E0-A53B-16C35C802DD2}"/>
            </a:ext>
          </a:extLst>
        </xdr:cNvPr>
        <xdr:cNvGrpSpPr/>
      </xdr:nvGrpSpPr>
      <xdr:grpSpPr>
        <a:xfrm>
          <a:off x="4876654" y="3923312"/>
          <a:ext cx="84900" cy="950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3" name="Oval 52">
            <a:extLst>
              <a:ext uri="{FF2B5EF4-FFF2-40B4-BE49-F238E27FC236}">
                <a16:creationId xmlns:a16="http://schemas.microsoft.com/office/drawing/2014/main" id="{0B5D4775-093C-951E-A0C1-9C881A029D4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AD1EA7B2-5C47-EC64-5ED1-6A0B04D7A11A}"/>
              </a:ext>
            </a:extLst>
          </xdr:cNvPr>
          <xdr:cNvCxnSpPr>
            <a:stCxn id="53" idx="1"/>
            <a:endCxn id="5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165D7A70-6FAA-2B96-B633-F4643A070268}"/>
              </a:ext>
            </a:extLst>
          </xdr:cNvPr>
          <xdr:cNvCxnSpPr>
            <a:stCxn id="53" idx="3"/>
            <a:endCxn id="5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266534</xdr:colOff>
      <xdr:row>25</xdr:row>
      <xdr:rowOff>135111</xdr:rowOff>
    </xdr:from>
    <xdr:to>
      <xdr:col>14</xdr:col>
      <xdr:colOff>2348</xdr:colOff>
      <xdr:row>26</xdr:row>
      <xdr:rowOff>8450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24F7D7FD-E129-437B-94A6-7FC88BFBEB92}"/>
            </a:ext>
          </a:extLst>
        </xdr:cNvPr>
        <xdr:cNvCxnSpPr>
          <a:stCxn id="66" idx="7"/>
          <a:endCxn id="53" idx="1"/>
        </xdr:cNvCxnSpPr>
      </xdr:nvCxnSpPr>
      <xdr:spPr>
        <a:xfrm>
          <a:off x="4003265" y="3971488"/>
          <a:ext cx="878814" cy="2573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243052</xdr:colOff>
      <xdr:row>23</xdr:row>
      <xdr:rowOff>52551</xdr:rowOff>
    </xdr:from>
    <xdr:to>
      <xdr:col>14</xdr:col>
      <xdr:colOff>359008</xdr:colOff>
      <xdr:row>25</xdr:row>
      <xdr:rowOff>85681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DA7E583D-E99F-4A76-8960-8105AFF6FE9E}"/>
            </a:ext>
          </a:extLst>
        </xdr:cNvPr>
        <xdr:cNvSpPr/>
      </xdr:nvSpPr>
      <xdr:spPr>
        <a:xfrm>
          <a:off x="4742793" y="3566948"/>
          <a:ext cx="496956" cy="335302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2 CJ5-T</a:t>
          </a:r>
        </a:p>
      </xdr:txBody>
    </xdr:sp>
    <xdr:clientData/>
  </xdr:twoCellAnchor>
  <xdr:twoCellAnchor>
    <xdr:from>
      <xdr:col>13</xdr:col>
      <xdr:colOff>192100</xdr:colOff>
      <xdr:row>28</xdr:row>
      <xdr:rowOff>27874</xdr:rowOff>
    </xdr:from>
    <xdr:to>
      <xdr:col>14</xdr:col>
      <xdr:colOff>308056</xdr:colOff>
      <xdr:row>30</xdr:row>
      <xdr:rowOff>125551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B3E21CB-8BB4-43C8-9A5D-2E4CF644A135}"/>
            </a:ext>
          </a:extLst>
        </xdr:cNvPr>
        <xdr:cNvSpPr/>
      </xdr:nvSpPr>
      <xdr:spPr>
        <a:xfrm>
          <a:off x="4691841" y="4297702"/>
          <a:ext cx="496956" cy="39328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2</a:t>
          </a:r>
          <a:r>
            <a:rPr lang="en-US" sz="600" baseline="0">
              <a:solidFill>
                <a:sysClr val="windowText" lastClr="000000"/>
              </a:solidFill>
            </a:rPr>
            <a:t>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7</xdr:col>
      <xdr:colOff>139139</xdr:colOff>
      <xdr:row>26</xdr:row>
      <xdr:rowOff>66679</xdr:rowOff>
    </xdr:from>
    <xdr:to>
      <xdr:col>8</xdr:col>
      <xdr:colOff>377173</xdr:colOff>
      <xdr:row>26</xdr:row>
      <xdr:rowOff>104855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195" idx="2"/>
          <a:endCxn id="199" idx="6"/>
        </xdr:cNvCxnSpPr>
      </xdr:nvCxnSpPr>
      <xdr:spPr>
        <a:xfrm flipH="1">
          <a:off x="2352880" y="4034334"/>
          <a:ext cx="619034" cy="38176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289034</xdr:colOff>
      <xdr:row>23</xdr:row>
      <xdr:rowOff>45982</xdr:rowOff>
    </xdr:from>
    <xdr:to>
      <xdr:col>17</xdr:col>
      <xdr:colOff>23990</xdr:colOff>
      <xdr:row>25</xdr:row>
      <xdr:rowOff>79112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47B89505-D65C-4B0F-882E-F411864EC989}"/>
            </a:ext>
          </a:extLst>
        </xdr:cNvPr>
        <xdr:cNvSpPr/>
      </xdr:nvSpPr>
      <xdr:spPr>
        <a:xfrm>
          <a:off x="5550775" y="3560379"/>
          <a:ext cx="496956" cy="335302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2 CJ5-T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8</xdr:row>
      <xdr:rowOff>122465</xdr:rowOff>
    </xdr:from>
    <xdr:to>
      <xdr:col>20</xdr:col>
      <xdr:colOff>272144</xdr:colOff>
      <xdr:row>49</xdr:row>
      <xdr:rowOff>13896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1E656E-066E-A0B4-AE82-EF428228E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7929" y="1578429"/>
          <a:ext cx="10300608" cy="65861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1134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1135</v>
      </c>
      <c r="G7" s="532" t="s">
        <v>41</v>
      </c>
      <c r="H7" s="528" t="s">
        <v>1042</v>
      </c>
      <c r="I7" s="528" t="s">
        <v>1137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175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35</v>
      </c>
      <c r="G18" s="41">
        <f ca="1">IF(ISERROR(OFFSET('HARGA SATUAN'!$I$6,MATCH(C18,'HARGA SATUAN'!$C$7:$C$1492,0),0)),"",OFFSET('HARGA SATUAN'!$I$6,MATCH(C18,'HARGA SATUAN'!$C$7:$C$1492,0),0))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SUMIFS(RAB!$F$14:$F$94,RAB!$C$14:$C$94,C714)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SUMIFS(RAB!$F$14:$F$94,RAB!$C$14:$C$94,C715)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SUMIFS(RAB!$F$14:$F$94,RAB!$C$14:$C$94,C716)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SUMIFS(RAB!$F$14:$F$94,RAB!$C$14:$C$94,C717)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SUMIFS(RAB!$F$14:$F$94,RAB!$C$14:$C$94,C718)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SUMIFS(RAB!$F$14:$F$94,RAB!$C$14:$C$94,C719)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SUMIFS(RAB!$F$14:$F$94,RAB!$C$14:$C$94,C720)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SUMIFS(RAB!$F$14:$F$94,RAB!$C$14:$C$94,C721)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SUMIFS(RAB!$F$14:$F$94,RAB!$C$14:$C$94,C722)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SUMIFS(RAB!$F$14:$F$94,RAB!$C$14:$C$94,C723)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SUMIFS(RAB!$F$14:$F$94,RAB!$C$14:$C$94,C724)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SUMIFS(RAB!$F$14:$F$94,RAB!$C$14:$C$94,C725)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SUMIFS(RAB!$F$14:$F$94,RAB!$C$14:$C$94,C726)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SUMIFS(RAB!$F$14:$F$94,RAB!$C$14:$C$94,C727)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SUMIFS(RAB!$F$14:$F$94,RAB!$C$14:$C$94,C728)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SUMIFS(RAB!$F$14:$F$94,RAB!$C$14:$C$94,C729)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SUMIFS(RAB!$F$14:$F$94,RAB!$C$14:$C$94,C730)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SUMIFS(RAB!$F$14:$F$94,RAB!$C$14:$C$94,C731)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SUMIFS(RAB!$F$14:$F$94,RAB!$C$14:$C$94,C732)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SUMIFS(RAB!$F$14:$F$94,RAB!$C$14:$C$94,C733)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SUMIFS(RAB!$F$14:$F$94,RAB!$C$14:$C$94,C734)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SUMIFS(RAB!$F$14:$F$94,RAB!$C$14:$C$94,C735)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SUMIFS(RAB!$F$14:$F$94,RAB!$C$14:$C$94,C736)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SUMIFS(RAB!$F$14:$F$94,RAB!$C$14:$C$94,C737)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SUMIFS(RAB!$F$14:$F$94,RAB!$C$14:$C$94,C738)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SUMIFS(RAB!$F$14:$F$94,RAB!$C$14:$C$94,C739)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SUMIFS(RAB!$F$14:$F$94,RAB!$C$14:$C$94,C740)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SUMIFS(RAB!$F$14:$F$94,RAB!$C$14:$C$94,C741)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SUMIFS(RAB!$F$14:$F$94,RAB!$C$14:$C$94,C742)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SUMIFS(RAB!$F$14:$F$94,RAB!$C$14:$C$94,C743)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SUMIFS(RAB!$F$14:$F$94,RAB!$C$14:$C$94,C744)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SUMIFS(RAB!$F$14:$F$94,RAB!$C$14:$C$94,C745)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SUMIFS(RAB!$F$14:$F$94,RAB!$C$14:$C$94,C746)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SUMIFS(RAB!$F$14:$F$94,RAB!$C$14:$C$94,C747)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SUMIFS(RAB!$F$14:$F$94,RAB!$C$14:$C$94,C748)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SUMIFS(RAB!$F$14:$F$94,RAB!$C$14:$C$94,C749)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SUMIFS(RAB!$F$14:$F$94,RAB!$C$14:$C$94,C750)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SUMIFS(RAB!$F$14:$F$94,RAB!$C$14:$C$94,C751)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SUMIFS(RAB!$F$14:$F$94,RAB!$C$14:$C$94,C752)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SUMIFS(RAB!$F$14:$F$94,RAB!$C$14:$C$94,C753)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SUMIFS(RAB!$F$14:$F$94,RAB!$C$14:$C$94,C754)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SUMIFS(RAB!$F$14:$F$94,RAB!$C$14:$C$94,C755)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SUMIFS(RAB!$F$14:$F$94,RAB!$C$14:$C$94,C756)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SUMIFS(RAB!$F$14:$F$94,RAB!$C$14:$C$94,C757)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SUMIFS(RAB!$F$14:$F$94,RAB!$C$14:$C$94,C758)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SUMIFS(RAB!$F$14:$F$94,RAB!$C$14:$C$94,C759)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SUMIFS(RAB!$F$14:$F$94,RAB!$C$14:$C$94,C760)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SUMIFS(RAB!$F$14:$F$94,RAB!$C$14:$C$94,C761)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SUMIFS(RAB!$F$14:$F$94,RAB!$C$14:$C$94,C762)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SUMIFS(RAB!$F$14:$F$94,RAB!$C$14:$C$94,C763)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SUMIFS(RAB!$F$14:$F$94,RAB!$C$14:$C$94,C764)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SUMIFS(RAB!$F$14:$F$94,RAB!$C$14:$C$94,C765)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SUMIFS(RAB!$F$14:$F$94,RAB!$C$14:$C$94,C766)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SUMIFS(RAB!$F$14:$F$94,RAB!$C$14:$C$94,C767)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SUMIFS(RAB!$F$14:$F$94,RAB!$C$14:$C$94,C768)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SUMIFS(RAB!$F$14:$F$94,RAB!$C$14:$C$94,C769)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SUMIFS(RAB!$F$14:$F$94,RAB!$C$14:$C$94,C770)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SUMIFS(RAB!$F$14:$F$94,RAB!$C$14:$C$94,C771)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SUMIFS(RAB!$F$14:$F$94,RAB!$C$14:$C$94,C772)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SUMIFS(RAB!$F$14:$F$94,RAB!$C$14:$C$94,C773)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SUMIFS(RAB!$F$14:$F$94,RAB!$C$14:$C$94,C774)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SUMIFS(RAB!$F$14:$F$94,RAB!$C$14:$C$94,C775)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SUMIFS(RAB!$F$14:$F$94,RAB!$C$14:$C$94,C776)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SUMIFS(RAB!$F$14:$F$94,RAB!$C$14:$C$94,C777)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SUMIFS(RAB!$F$14:$F$94,RAB!$C$14:$C$94,C778)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SUMIFS(RAB!$F$14:$F$94,RAB!$C$14:$C$94,C779)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SUMIFS(RAB!$F$14:$F$94,RAB!$C$14:$C$94,C780)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SUMIFS(RAB!$F$14:$F$94,RAB!$C$14:$C$94,C781)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SUMIFS(RAB!$F$14:$F$94,RAB!$C$14:$C$94,C782)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SUMIFS(RAB!$F$14:$F$94,RAB!$C$14:$C$94,C783)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SUMIFS(RAB!$F$14:$F$94,RAB!$C$14:$C$94,C784)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SUMIFS(RAB!$F$14:$F$94,RAB!$C$14:$C$94,C785)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SUMIFS(RAB!$F$14:$F$94,RAB!$C$14:$C$94,C786)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SUMIFS(RAB!$F$14:$F$94,RAB!$C$14:$C$94,C787)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SUMIFS(RAB!$F$14:$F$94,RAB!$C$14:$C$94,C788)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SUMIFS(RAB!$F$14:$F$94,RAB!$C$14:$C$94,C789)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SUMIFS(RAB!$F$14:$F$94,RAB!$C$14:$C$94,C790)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SUMIFS(RAB!$F$14:$F$94,RAB!$C$14:$C$94,C791)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SUMIFS(RAB!$F$14:$F$94,RAB!$C$14:$C$94,C792)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SUMIFS(RAB!$F$14:$F$94,RAB!$C$14:$C$94,C793)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SUMIFS(RAB!$F$14:$F$94,RAB!$C$14:$C$94,C794)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SUMIFS(RAB!$F$14:$F$94,RAB!$C$14:$C$94,C795)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SUMIFS(RAB!$F$14:$F$94,RAB!$C$14:$C$94,C796)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SUMIFS(RAB!$F$14:$F$94,RAB!$C$14:$C$94,C797)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SUMIFS(RAB!$F$14:$F$94,RAB!$C$14:$C$94,C798)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SUMIFS(RAB!$F$14:$F$94,RAB!$C$14:$C$94,C799)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SUMIFS(RAB!$F$14:$F$94,RAB!$C$14:$C$94,C800)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SUMIFS(RAB!$F$14:$F$94,RAB!$C$14:$C$94,C801)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SUMIFS(RAB!$F$14:$F$94,RAB!$C$14:$C$94,C802)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SUMIFS(RAB!$F$14:$F$94,RAB!$C$14:$C$94,C803)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SUMIFS(RAB!$F$14:$F$94,RAB!$C$14:$C$94,C804)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SUMIFS(RAB!$F$14:$F$94,RAB!$C$14:$C$94,C805)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SUMIFS(RAB!$F$14:$F$94,RAB!$C$14:$C$94,C806)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SUMIFS(RAB!$F$14:$F$94,RAB!$C$14:$C$94,C807)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SUMIFS(RAB!$F$14:$F$94,RAB!$C$14:$C$94,C808)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SUMIFS(RAB!$F$14:$F$94,RAB!$C$14:$C$94,C809)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SUMIFS(RAB!$F$14:$F$94,RAB!$C$14:$C$94,C810)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SUMIFS(RAB!$F$14:$F$94,RAB!$C$14:$C$94,C811)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SUMIFS(RAB!$F$14:$F$94,RAB!$C$14:$C$94,C812)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SUMIFS(RAB!$F$14:$F$94,RAB!$C$14:$C$94,C813)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SUMIFS(RAB!$F$14:$F$94,RAB!$C$14:$C$94,C814)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SUMIFS(RAB!$F$14:$F$94,RAB!$C$14:$C$94,C815)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SUMIFS(RAB!$F$14:$F$94,RAB!$C$14:$C$94,C816)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SUMIFS(RAB!$F$14:$F$94,RAB!$C$14:$C$94,C817)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SUMIFS(RAB!$F$14:$F$94,RAB!$C$14:$C$94,C818)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SUMIFS(RAB!$F$14:$F$94,RAB!$C$14:$C$94,C819)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SUMIFS(RAB!$F$14:$F$94,RAB!$C$14:$C$94,C820)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SUMIFS(RAB!$F$14:$F$94,RAB!$C$14:$C$94,C821)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SUMIFS(RAB!$F$14:$F$94,RAB!$C$14:$C$94,C822)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SUMIFS(RAB!$F$14:$F$94,RAB!$C$14:$C$94,C823)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SUMIFS(RAB!$F$14:$F$94,RAB!$C$14:$C$94,C824)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SUMIFS(RAB!$F$14:$F$94,RAB!$C$14:$C$94,C825)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SUMIFS(RAB!$F$14:$F$94,RAB!$C$14:$C$94,C826)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SUMIFS(RAB!$F$14:$F$94,RAB!$C$14:$C$94,C827)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SUMIFS(RAB!$F$14:$F$94,RAB!$C$14:$C$94,C828)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SUMIFS(RAB!$F$14:$F$94,RAB!$C$14:$C$94,C829)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SUMIFS(RAB!$F$14:$F$94,RAB!$C$14:$C$94,C830)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SUMIFS(RAB!$F$14:$F$94,RAB!$C$14:$C$94,C831)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SUMIFS(RAB!$F$14:$F$94,RAB!$C$14:$C$94,C832)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SUMIFS(RAB!$F$14:$F$94,RAB!$C$14:$C$94,C833)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SUMIFS(RAB!$F$14:$F$94,RAB!$C$14:$C$94,C834)</f>
        <v>175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SUMIFS(RAB!$F$14:$F$94,RAB!$C$14:$C$94,C835)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SUMIFS(RAB!$F$14:$F$94,RAB!$C$14:$C$94,C836)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SUMIFS(RAB!$F$14:$F$94,RAB!$C$14:$C$94,C837)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SUMIFS(RAB!$F$14:$F$94,RAB!$C$14:$C$94,C838)</f>
        <v>35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SUMIFS(RAB!$F$14:$F$94,RAB!$C$14:$C$94,C839)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SUMIFS(RAB!$F$14:$F$94,RAB!$C$14:$C$94,C840)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SUMIFS(RAB!$F$14:$F$94,RAB!$C$14:$C$94,C841)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SUMIFS(RAB!$F$14:$F$94,RAB!$C$14:$C$94,C842)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SUMIFS(RAB!$F$14:$F$94,RAB!$C$14:$C$94,C843)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SUMIFS(RAB!$F$14:$F$94,RAB!$C$14:$C$94,C844)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SUMIFS(RAB!$F$14:$F$94,RAB!$C$14:$C$94,C845)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SUMIFS(RAB!$F$14:$F$94,RAB!$C$14:$C$94,C846)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SUMIFS(RAB!$F$14:$F$94,RAB!$C$14:$C$94,C847)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SUMIFS(RAB!$F$14:$F$94,RAB!$C$14:$C$94,C848)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SUMIFS(RAB!$F$14:$F$94,RAB!$C$14:$C$94,C849)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SUMIFS(RAB!$F$14:$F$94,RAB!$C$14:$C$94,C850)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SUMIFS(RAB!$F$14:$F$94,RAB!$C$14:$C$94,C851)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SUMIFS(RAB!$F$14:$F$94,RAB!$C$14:$C$94,C852)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SUMIFS(RAB!$F$14:$F$94,RAB!$C$14:$C$94,C853)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SUMIFS(RAB!$F$14:$F$94,RAB!$C$14:$C$94,C854)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SUMIFS(RAB!$F$14:$F$94,RAB!$C$14:$C$94,C855)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SUMIFS(RAB!$F$14:$F$94,RAB!$C$14:$C$94,C856)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SUMIFS(RAB!$F$14:$F$94,RAB!$C$14:$C$94,C857)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SUMIFS(RAB!$F$14:$F$94,RAB!$C$14:$C$94,C858)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SUMIFS(RAB!$F$14:$F$94,RAB!$C$14:$C$94,C859)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SUMIFS(RAB!$F$14:$F$94,RAB!$C$14:$C$94,C860)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SUMIFS(RAB!$F$14:$F$94,RAB!$C$14:$C$94,C861)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SUMIFS(RAB!$F$14:$F$94,RAB!$C$14:$C$94,C862)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SUMIFS(RAB!$F$14:$F$94,RAB!$C$14:$C$94,C863)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SUMIFS(RAB!$F$14:$F$94,RAB!$C$14:$C$94,C864)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SUMIFS(RAB!$F$14:$F$94,RAB!$C$14:$C$94,C865)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SUMIFS(RAB!$F$14:$F$94,RAB!$C$14:$C$94,C866)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SUMIFS(RAB!$F$14:$F$94,RAB!$C$14:$C$94,C867)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SUMIFS(RAB!$F$14:$F$94,RAB!$C$14:$C$94,C868)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SUMIFS(RAB!$F$14:$F$94,RAB!$C$14:$C$94,C869)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SUMIFS(RAB!$F$14:$F$94,RAB!$C$14:$C$94,C870)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SUMIFS(RAB!$F$14:$F$94,RAB!$C$14:$C$94,C871)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SUMIFS(RAB!$F$14:$F$94,RAB!$C$14:$C$94,C872)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SUMIFS(RAB!$F$14:$F$94,RAB!$C$14:$C$94,C873)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SUMIFS(RAB!$F$14:$F$94,RAB!$C$14:$C$94,C874)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SUMIFS(RAB!$F$14:$F$94,RAB!$C$14:$C$94,C875)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SUMIFS(RAB!$F$14:$F$94,RAB!$C$14:$C$94,C876)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SUMIFS(RAB!$F$14:$F$94,RAB!$C$14:$C$94,C877)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SUMIFS(RAB!$F$14:$F$94,RAB!$C$14:$C$94,C878)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SUMIFS(RAB!$F$14:$F$94,RAB!$C$14:$C$94,C879)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SUMIFS(RAB!$F$14:$F$94,RAB!$C$14:$C$94,C880)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SUMIFS(RAB!$F$14:$F$94,RAB!$C$14:$C$94,C881)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SUMIFS(RAB!$F$14:$F$94,RAB!$C$14:$C$94,C882)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SUMIFS(RAB!$F$14:$F$94,RAB!$C$14:$C$94,C883)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SUMIFS(RAB!$F$14:$F$94,RAB!$C$14:$C$94,C884)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SUMIFS(RAB!$F$14:$F$94,RAB!$C$14:$C$94,C885)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SUMIFS(RAB!$F$14:$F$94,RAB!$C$14:$C$94,C886)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SUMIFS(RAB!$F$14:$F$94,RAB!$C$14:$C$94,C887)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SUMIFS(RAB!$F$14:$F$94,RAB!$C$14:$C$94,C888)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SUMIFS(RAB!$F$14:$F$94,RAB!$C$14:$C$94,C889)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SUMIFS(RAB!$F$14:$F$94,RAB!$C$14:$C$94,C890)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SUMIFS(RAB!$F$14:$F$94,RAB!$C$14:$C$94,C891)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SUMIFS(RAB!$F$14:$F$94,RAB!$C$14:$C$94,C892)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SUMIFS(RAB!$F$14:$F$94,RAB!$C$14:$C$94,C893)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SUMIFS(RAB!$F$14:$F$94,RAB!$C$14:$C$94,C894)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SUMIFS(RAB!$F$14:$F$94,RAB!$C$14:$C$94,C895)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SUMIFS(RAB!$F$14:$F$94,RAB!$C$14:$C$94,C896)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SUMIFS(RAB!$F$14:$F$94,RAB!$C$14:$C$94,C897)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SUMIFS(RAB!$F$14:$F$94,RAB!$C$14:$C$94,C898)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SUMIFS(RAB!$F$14:$F$94,RAB!$C$14:$C$94,C899)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SUMIFS(RAB!$F$14:$F$94,RAB!$C$14:$C$94,C900)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SUMIFS(RAB!$F$14:$F$94,RAB!$C$14:$C$94,C901)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SUMIFS(RAB!$F$14:$F$94,RAB!$C$14:$C$94,C902)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SUMIFS(RAB!$F$14:$F$94,RAB!$C$14:$C$94,C903)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SUMIFS(RAB!$F$14:$F$94,RAB!$C$14:$C$94,C904)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SUMIFS(RAB!$F$14:$F$94,RAB!$C$14:$C$94,C905)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SUMIFS(RAB!$F$14:$F$94,RAB!$C$14:$C$94,C906)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SUMIFS(RAB!$F$14:$F$94,RAB!$C$14:$C$94,C907)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SUMIFS(RAB!$F$14:$F$94,RAB!$C$14:$C$94,C908)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SUMIFS(RAB!$F$14:$F$94,RAB!$C$14:$C$94,C909)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SUMIFS(RAB!$F$14:$F$94,RAB!$C$14:$C$94,C910)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SUMIFS(RAB!$F$14:$F$94,RAB!$C$14:$C$94,C911)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SUMIFS(RAB!$F$14:$F$94,RAB!$C$14:$C$94,C912)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SUMIFS(RAB!$F$14:$F$94,RAB!$C$14:$C$94,C913)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SUMIFS(RAB!$F$14:$F$94,RAB!$C$14:$C$94,C914)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SUMIFS(RAB!$F$14:$F$94,RAB!$C$14:$C$94,C915)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SUMIFS(RAB!$F$14:$F$94,RAB!$C$14:$C$94,C916)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SUMIFS(RAB!$F$14:$F$94,RAB!$C$14:$C$94,C917)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SUMIFS(RAB!$F$14:$F$94,RAB!$C$14:$C$94,C918)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SUMIFS(RAB!$F$14:$F$94,RAB!$C$14:$C$94,C919)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SUMIFS(RAB!$F$14:$F$94,RAB!$C$14:$C$94,C920)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SUMIFS(RAB!$F$14:$F$94,RAB!$C$14:$C$94,C921)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SUMIFS(RAB!$F$14:$F$94,RAB!$C$14:$C$94,C922)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SUMIFS(RAB!$F$14:$F$94,RAB!$C$14:$C$94,C923)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SUMIFS(RAB!$F$14:$F$94,RAB!$C$14:$C$94,C924)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SUMIFS(RAB!$F$14:$F$94,RAB!$C$14:$C$94,C925)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SUMIFS(RAB!$F$14:$F$94,RAB!$C$14:$C$94,C926)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SUMIFS(RAB!$F$14:$F$94,RAB!$C$14:$C$94,C927)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SUMIFS(RAB!$F$14:$F$94,RAB!$C$14:$C$94,C928)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SUMIFS(RAB!$F$14:$F$94,RAB!$C$14:$C$94,C929)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SUMIFS(RAB!$F$14:$F$94,RAB!$C$14:$C$94,C930)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SUMIFS(RAB!$F$14:$F$94,RAB!$C$14:$C$94,C931)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SUMIFS(RAB!$F$14:$F$94,RAB!$C$14:$C$94,C932)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SUMIFS(RAB!$F$14:$F$94,RAB!$C$14:$C$94,C933)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SUMIFS(RAB!$F$14:$F$94,RAB!$C$14:$C$94,C934)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SUMIFS(RAB!$F$14:$F$94,RAB!$C$14:$C$94,C935)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SUMIFS(RAB!$F$14:$F$94,RAB!$C$14:$C$94,C936)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SUMIFS(RAB!$F$14:$F$94,RAB!$C$14:$C$94,C937)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SUMIFS(RAB!$F$14:$F$94,RAB!$C$14:$C$94,C938)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SUMIFS(RAB!$F$14:$F$94,RAB!$C$14:$C$94,C939)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SUMIFS(RAB!$F$14:$F$94,RAB!$C$14:$C$94,C940)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SUMIFS(RAB!$F$14:$F$94,RAB!$C$14:$C$94,C941)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SUMIFS(RAB!$F$14:$F$94,RAB!$C$14:$C$94,C942)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SUMIFS(RAB!$F$14:$F$94,RAB!$C$14:$C$94,C943)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SUMIFS(RAB!$F$14:$F$94,RAB!$C$14:$C$94,C944)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SUMIFS(RAB!$F$14:$F$94,RAB!$C$14:$C$94,C945)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SUMIFS(RAB!$F$14:$F$94,RAB!$C$14:$C$94,C946)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SUMIFS(RAB!$F$14:$F$94,RAB!$C$14:$C$94,C947)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SUMIFS(RAB!$F$14:$F$94,RAB!$C$14:$C$94,C948)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SUMIFS(RAB!$F$14:$F$94,RAB!$C$14:$C$94,C949)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SUMIFS(RAB!$F$14:$F$94,RAB!$C$14:$C$94,C950)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SUMIFS(RAB!$F$14:$F$94,RAB!$C$14:$C$94,C951)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SUMIFS(RAB!$F$14:$F$94,RAB!$C$14:$C$94,C952)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SUMIFS(RAB!$F$14:$F$94,RAB!$C$14:$C$94,C953)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SUMIFS(RAB!$F$14:$F$94,RAB!$C$14:$C$94,C954)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SUMIFS(RAB!$F$14:$F$94,RAB!$C$14:$C$94,C955)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SUMIFS(RAB!$F$14:$F$94,RAB!$C$14:$C$94,C956)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SUMIFS(RAB!$F$14:$F$94,RAB!$C$14:$C$94,C957)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SUMIFS(RAB!$F$14:$F$94,RAB!$C$14:$C$94,C958)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SUMIFS(RAB!$F$14:$F$94,RAB!$C$14:$C$94,C959)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SUMIFS(RAB!$F$14:$F$94,RAB!$C$14:$C$94,C960)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SUMIFS(RAB!$F$14:$F$94,RAB!$C$14:$C$94,C961)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SUMIFS(RAB!$F$14:$F$94,RAB!$C$14:$C$94,C962)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SUMIFS(RAB!$F$14:$F$94,RAB!$C$14:$C$94,C963)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SUMIFS(RAB!$F$14:$F$94,RAB!$C$14:$C$94,C964)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SUMIFS(RAB!$F$14:$F$94,RAB!$C$14:$C$94,C965)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SUMIFS(RAB!$F$14:$F$94,RAB!$C$14:$C$94,C966)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SUMIFS(RAB!$F$14:$F$94,RAB!$C$14:$C$94,C967)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SUMIFS(RAB!$F$14:$F$94,RAB!$C$14:$C$94,C968)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SUMIFS(RAB!$F$14:$F$94,RAB!$C$14:$C$94,C969)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SUMIFS(RAB!$F$14:$F$94,RAB!$C$14:$C$94,C970)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SUMIFS(RAB!$F$14:$F$94,RAB!$C$14:$C$94,C971)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SUMIFS(RAB!$F$14:$F$94,RAB!$C$14:$C$94,C972)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SUMIFS(RAB!$F$14:$F$94,RAB!$C$14:$C$94,C973)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SUMIFS(RAB!$F$14:$F$94,RAB!$C$14:$C$94,C974)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SUMIFS(RAB!$F$14:$F$94,RAB!$C$14:$C$94,C975)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SUMIFS(RAB!$F$14:$F$94,RAB!$C$14:$C$94,C976)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SUMIFS(RAB!$F$14:$F$94,RAB!$C$14:$C$94,C977)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SUMIFS(RAB!$F$14:$F$94,RAB!$C$14:$C$94,C978)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SUMIFS(RAB!$F$14:$F$94,RAB!$C$14:$C$94,C979)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SUMIFS(RAB!$F$14:$F$94,RAB!$C$14:$C$94,C980)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SUMIFS(RAB!$F$14:$F$94,RAB!$C$14:$C$94,C981)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SUMIFS(RAB!$F$14:$F$94,RAB!$C$14:$C$94,C982)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SUMIFS(RAB!$F$14:$F$94,RAB!$C$14:$C$94,C983)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SUMIFS(RAB!$F$14:$F$94,RAB!$C$14:$C$94,C984)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SUMIFS(RAB!$F$14:$F$94,RAB!$C$14:$C$94,C985)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SUMIFS(RAB!$F$14:$F$94,RAB!$C$14:$C$94,C986)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SUMIFS(RAB!$F$14:$F$94,RAB!$C$14:$C$94,C987)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SUMIFS(RAB!$F$14:$F$94,RAB!$C$14:$C$94,C988)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SUMIFS(RAB!$F$14:$F$94,RAB!$C$14:$C$94,C989)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SUMIFS(RAB!$F$14:$F$94,RAB!$C$14:$C$94,C990)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SUMIFS(RAB!$F$14:$F$94,RAB!$C$14:$C$94,C991)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SUMIFS(RAB!$F$14:$F$94,RAB!$C$14:$C$94,C992)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SUMIFS(RAB!$F$14:$F$94,RAB!$C$14:$C$94,C993)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SUMIFS(RAB!$F$14:$F$94,RAB!$C$14:$C$94,C994)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SUMIFS(RAB!$F$14:$F$94,RAB!$C$14:$C$94,C995)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SUMIFS(RAB!$F$14:$F$94,RAB!$C$14:$C$94,C996)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SUMIFS(RAB!$F$14:$F$94,RAB!$C$14:$C$94,C997)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SUMIFS(RAB!$F$14:$F$94,RAB!$C$14:$C$94,C998)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SUMIFS(RAB!$F$14:$F$94,RAB!$C$14:$C$94,C999)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SUMIFS(RAB!$F$14:$F$94,RAB!$C$14:$C$94,C1000)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SUMIFS(RAB!$F$14:$F$94,RAB!$C$14:$C$94,C1001)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SUMIFS(RAB!$F$14:$F$94,RAB!$C$14:$C$94,C1002)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SUMIFS(RAB!$F$14:$F$94,RAB!$C$14:$C$94,C1003)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SUMIFS(RAB!$F$14:$F$94,RAB!$C$14:$C$94,C1004)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SUMIFS(RAB!$F$14:$F$94,RAB!$C$14:$C$94,C1005)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SUMIFS(RAB!$F$14:$F$94,RAB!$C$14:$C$94,C1006)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SUMIFS(RAB!$F$14:$F$94,RAB!$C$14:$C$94,C1007)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SUMIFS(RAB!$F$14:$F$94,RAB!$C$14:$C$94,C1008)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SUMIFS(RAB!$F$14:$F$94,RAB!$C$14:$C$94,C1009)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SUMIFS(RAB!$F$14:$F$94,RAB!$C$14:$C$94,C1010)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SUMIFS(RAB!$F$14:$F$94,RAB!$C$14:$C$94,C1011)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SUMIFS(RAB!$F$14:$F$94,RAB!$C$14:$C$94,C1012)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SUMIFS(RAB!$F$14:$F$94,RAB!$C$14:$C$94,C1013)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SUMIFS(RAB!$F$14:$F$94,RAB!$C$14:$C$94,C1014)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SUMIFS(RAB!$F$14:$F$94,RAB!$C$14:$C$94,C1015)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SUMIFS(RAB!$F$14:$F$94,RAB!$C$14:$C$94,C1016)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SUMIFS(RAB!$F$14:$F$94,RAB!$C$14:$C$94,C1017)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SUMIFS(RAB!$F$14:$F$94,RAB!$C$14:$C$94,C1018)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SUMIFS(RAB!$F$14:$F$94,RAB!$C$14:$C$94,C1019)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SUMIFS(RAB!$F$14:$F$94,RAB!$C$14:$C$94,C1020)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SUMIFS(RAB!$F$14:$F$94,RAB!$C$14:$C$94,C1021)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SUMIFS(RAB!$F$14:$F$94,RAB!$C$14:$C$94,C1022)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SUMIFS(RAB!$F$14:$F$94,RAB!$C$14:$C$94,C1023)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SUMIFS(RAB!$F$14:$F$94,RAB!$C$14:$C$94,C1024)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SUMIFS(RAB!$F$14:$F$94,RAB!$C$14:$C$94,C1025)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SUMIFS(RAB!$F$14:$F$94,RAB!$C$14:$C$94,C1026)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SUMIFS(RAB!$F$14:$F$94,RAB!$C$14:$C$94,C1027)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SUMIFS(RAB!$F$14:$F$94,RAB!$C$14:$C$94,C1028)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SUMIFS(RAB!$F$14:$F$94,RAB!$C$14:$C$94,C1029)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SUMIFS(RAB!$F$14:$F$94,RAB!$C$14:$C$94,C1030)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SUMIFS(RAB!$F$14:$F$94,RAB!$C$14:$C$94,C1031)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SUMIFS(RAB!$F$14:$F$94,RAB!$C$14:$C$94,C1032)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SUMIFS(RAB!$F$14:$F$94,RAB!$C$14:$C$94,C1033)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SUMIFS(RAB!$F$14:$F$94,RAB!$C$14:$C$94,C1034)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SUMIFS(RAB!$F$14:$F$94,RAB!$C$14:$C$94,C1035)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SUMIFS(RAB!$F$14:$F$94,RAB!$C$14:$C$94,C1036)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SUMIFS(RAB!$F$14:$F$94,RAB!$C$14:$C$94,C1037)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SUMIFS(RAB!$F$14:$F$94,RAB!$C$14:$C$94,C1038)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SUMIFS(RAB!$F$14:$F$94,RAB!$C$14:$C$94,C1039)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SUMIFS(RAB!$F$14:$F$94,RAB!$C$14:$C$94,C1040)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SUMIFS(RAB!$F$14:$F$94,RAB!$C$14:$C$94,C1041)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SUMIFS(RAB!$F$14:$F$94,RAB!$C$14:$C$94,C1042)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SUMIFS(RAB!$F$14:$F$94,RAB!$C$14:$C$94,C1043)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SUMIFS(RAB!$F$14:$F$94,RAB!$C$14:$C$94,C1044)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SUMIFS(RAB!$F$14:$F$94,RAB!$C$14:$C$94,C1045)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SUMIFS(RAB!$F$14:$F$94,RAB!$C$14:$C$94,C1046)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SUMIFS(RAB!$F$14:$F$94,RAB!$C$14:$C$94,C1047)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SUMIFS(RAB!$F$14:$F$94,RAB!$C$14:$C$94,C1048)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SUMIFS(RAB!$F$14:$F$94,RAB!$C$14:$C$94,C1049)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SUMIFS(RAB!$F$14:$F$94,RAB!$C$14:$C$94,C1050)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SUMIFS(RAB!$F$14:$F$94,RAB!$C$14:$C$94,C1051)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SUMIFS(RAB!$F$14:$F$94,RAB!$C$14:$C$94,C1052)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SUMIFS(RAB!$F$14:$F$94,RAB!$C$14:$C$94,C1053)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SUMIFS(RAB!$F$14:$F$94,RAB!$C$14:$C$94,C1054)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SUMIFS(RAB!$F$14:$F$94,RAB!$C$14:$C$94,C1055)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SUMIFS(RAB!$F$14:$F$94,RAB!$C$14:$C$94,C1056)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SUMIFS(RAB!$F$14:$F$94,RAB!$C$14:$C$94,C1057)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SUMIFS(RAB!$F$14:$F$94,RAB!$C$14:$C$94,C1058)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SUMIFS(RAB!$F$14:$F$94,RAB!$C$14:$C$94,C1059)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SUMIFS(RAB!$F$14:$F$94,RAB!$C$14:$C$94,C1060)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SUMIFS(RAB!$F$14:$F$94,RAB!$C$14:$C$94,C1061)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SUMIFS(RAB!$F$14:$F$94,RAB!$C$14:$C$94,C1062)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SUMIFS(RAB!$F$14:$F$94,RAB!$C$14:$C$94,C1063)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SUMIFS(RAB!$F$14:$F$94,RAB!$C$14:$C$94,C1064)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SUMIFS(RAB!$F$14:$F$94,RAB!$C$14:$C$94,C1065)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SUMIFS(RAB!$F$14:$F$94,RAB!$C$14:$C$94,C1066)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SUMIFS(RAB!$F$14:$F$94,RAB!$C$14:$C$94,C1067)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SUMIFS(RAB!$F$14:$F$94,RAB!$C$14:$C$94,C1068)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SUMIFS(RAB!$F$14:$F$94,RAB!$C$14:$C$94,C1069)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SUMIFS(RAB!$F$14:$F$94,RAB!$C$14:$C$94,C1070)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SUMIFS(RAB!$F$14:$F$94,RAB!$C$14:$C$94,C1071)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SUMIFS(RAB!$F$14:$F$94,RAB!$C$14:$C$94,C1072)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SUMIFS(RAB!$F$14:$F$94,RAB!$C$14:$C$94,C1073)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SUMIFS(RAB!$F$14:$F$94,RAB!$C$14:$C$94,C1074)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SUMIFS(RAB!$F$14:$F$94,RAB!$C$14:$C$94,C1075)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SUMIFS(RAB!$F$14:$F$94,RAB!$C$14:$C$94,C1076)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SUMIFS(RAB!$F$14:$F$94,RAB!$C$14:$C$94,C1077)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SUMIFS(RAB!$F$14:$F$94,RAB!$C$14:$C$94,C1078)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SUMIFS(RAB!$F$14:$F$94,RAB!$C$14:$C$94,C1079)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SUMIFS(RAB!$F$14:$F$94,RAB!$C$14:$C$94,C1080)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SUMIFS(RAB!$F$14:$F$94,RAB!$C$14:$C$94,C1081)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SUMIFS(RAB!$F$14:$F$94,RAB!$C$14:$C$94,C1082)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SUMIFS(RAB!$F$14:$F$94,RAB!$C$14:$C$94,C1083)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SUMIFS(RAB!$F$14:$F$94,RAB!$C$14:$C$94,C1084)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SUMIFS(RAB!$F$14:$F$94,RAB!$C$14:$C$94,C1085)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SUMIFS(RAB!$F$14:$F$94,RAB!$C$14:$C$94,C1086)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SUMIFS(RAB!$F$14:$F$94,RAB!$C$14:$C$94,C1087)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SUMIFS(RAB!$F$14:$F$94,RAB!$C$14:$C$94,C1088)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SUMIFS(RAB!$F$14:$F$94,RAB!$C$14:$C$94,C1089)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SUMIFS(RAB!$F$14:$F$94,RAB!$C$14:$C$94,C1090)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SUMIFS(RAB!$F$14:$F$94,RAB!$C$14:$C$94,C1091)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SUMIFS(RAB!$F$14:$F$94,RAB!$C$14:$C$94,C1092)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SUMIFS(RAB!$F$14:$F$94,RAB!$C$14:$C$94,C1093)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SUMIFS(RAB!$F$14:$F$94,RAB!$C$14:$C$94,C1094)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SUMIFS(RAB!$F$14:$F$94,RAB!$C$14:$C$94,C1095)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SUMIFS(RAB!$F$14:$F$94,RAB!$C$14:$C$94,C1096)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SUMIFS(RAB!$F$14:$F$94,RAB!$C$14:$C$94,C1097)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SUMIFS(RAB!$F$14:$F$94,RAB!$C$14:$C$94,C1098)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SUMIFS(RAB!$F$14:$F$94,RAB!$C$14:$C$94,C1099)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SUMIFS(RAB!$F$14:$F$94,RAB!$C$14:$C$94,C1100)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SUMIFS(RAB!$F$14:$F$94,RAB!$C$14:$C$94,C1101)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SUMIFS(RAB!$F$14:$F$94,RAB!$C$14:$C$94,C1102)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SUMIFS(RAB!$F$14:$F$94,RAB!$C$14:$C$94,C1103)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SUMIFS(RAB!$F$14:$F$94,RAB!$C$14:$C$94,C1104)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SUMIFS(RAB!$F$14:$F$94,RAB!$C$14:$C$94,C1105)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SUMIFS(RAB!$F$14:$F$94,RAB!$C$14:$C$94,C1106)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SUMIFS(RAB!$F$14:$F$94,RAB!$C$14:$C$94,C1107)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SUMIFS(RAB!$F$14:$F$94,RAB!$C$14:$C$94,C1108)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SUMIFS(RAB!$F$14:$F$94,RAB!$C$14:$C$94,C1109)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SUMIFS(RAB!$F$14:$F$94,RAB!$C$14:$C$94,C1110)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SUMIFS(RAB!$F$14:$F$94,RAB!$C$14:$C$94,C1111)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SUMIFS(RAB!$F$14:$F$94,RAB!$C$14:$C$94,C1112)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SUMIFS(RAB!$F$14:$F$94,RAB!$C$14:$C$94,C1113)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SUMIFS(RAB!$F$14:$F$94,RAB!$C$14:$C$94,C1114)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SUMIFS(RAB!$F$14:$F$94,RAB!$C$14:$C$94,C1115)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SUMIFS(RAB!$F$14:$F$94,RAB!$C$14:$C$94,C1116)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SUMIFS(RAB!$F$14:$F$94,RAB!$C$14:$C$94,C1117)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SUMIFS(RAB!$F$14:$F$94,RAB!$C$14:$C$94,C1118)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SUMIFS(RAB!$F$14:$F$94,RAB!$C$14:$C$94,C1119)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SUMIFS(RAB!$F$14:$F$94,RAB!$C$14:$C$94,C1120)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SUMIFS(RAB!$F$14:$F$94,RAB!$C$14:$C$94,C1121)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SUMIFS(RAB!$F$14:$F$94,RAB!$C$14:$C$94,C1122)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SUMIFS(RAB!$F$14:$F$94,RAB!$C$14:$C$94,C1123)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SUMIFS(RAB!$F$14:$F$94,RAB!$C$14:$C$94,C1124)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SUMIFS(RAB!$F$14:$F$94,RAB!$C$14:$C$94,C1125)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SUMIFS(RAB!$F$14:$F$94,RAB!$C$14:$C$94,C1126)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SUMIFS(RAB!$F$14:$F$94,RAB!$C$14:$C$94,C1127)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SUMIFS(RAB!$F$14:$F$94,RAB!$C$14:$C$94,C1128)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SUMIFS(RAB!$F$14:$F$94,RAB!$C$14:$C$94,C1129)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SUMIFS(RAB!$F$14:$F$94,RAB!$C$14:$C$94,C1130)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SUMIFS(RAB!$F$14:$F$94,RAB!$C$14:$C$94,C1131)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SUMIFS(RAB!$F$14:$F$94,RAB!$C$14:$C$94,C1132)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SUMIFS(RAB!$F$14:$F$94,RAB!$C$14:$C$94,C1133)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SUMIFS(RAB!$F$14:$F$94,RAB!$C$14:$C$94,C1134)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SUMIFS(RAB!$F$14:$F$94,RAB!$C$14:$C$94,C1135)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SUMIFS(RAB!$F$14:$F$94,RAB!$C$14:$C$94,C1136)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SUMIFS(RAB!$F$14:$F$94,RAB!$C$14:$C$94,C1137)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SUMIFS(RAB!$F$14:$F$94,RAB!$C$14:$C$94,C1138)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SUMIFS(RAB!$F$14:$F$94,RAB!$C$14:$C$94,C1139)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SUMIFS(RAB!$F$14:$F$94,RAB!$C$14:$C$94,C1140)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SUMIFS(RAB!$F$14:$F$94,RAB!$C$14:$C$94,C1141)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SUMIFS(RAB!$F$14:$F$94,RAB!$C$14:$C$94,C1142)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SUMIFS(RAB!$F$14:$F$94,RAB!$C$14:$C$94,C1143)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SUMIFS(RAB!$F$14:$F$94,RAB!$C$14:$C$94,C1144)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SUMIFS(RAB!$F$14:$F$94,RAB!$C$14:$C$94,C1145)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SUMIFS(RAB!$F$14:$F$94,RAB!$C$14:$C$94,C1146)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SUMIFS(RAB!$F$14:$F$94,RAB!$C$14:$C$94,C1147)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SUMIFS(RAB!$F$14:$F$94,RAB!$C$14:$C$94,C1148)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SUMIFS(RAB!$F$14:$F$94,RAB!$C$14:$C$94,C1149)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SUMIFS(RAB!$F$14:$F$94,RAB!$C$14:$C$94,C1150)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SUMIFS(RAB!$F$14:$F$94,RAB!$C$14:$C$94,C1151)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SUMIFS(RAB!$F$14:$F$94,RAB!$C$14:$C$94,C1152)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SUMIFS(RAB!$F$14:$F$94,RAB!$C$14:$C$94,C1153)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SUMIFS(RAB!$F$14:$F$94,RAB!$C$14:$C$94,C1154)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SUMIFS(RAB!$F$14:$F$94,RAB!$C$14:$C$94,C1155)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SUMIFS(RAB!$F$14:$F$94,RAB!$C$14:$C$94,C1156)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SUMIFS(RAB!$F$14:$F$94,RAB!$C$14:$C$94,C1157)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SUMIFS(RAB!$F$14:$F$94,RAB!$C$14:$C$94,C1158)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SUMIFS(RAB!$F$14:$F$94,RAB!$C$14:$C$94,C1159)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SUMIFS(RAB!$F$14:$F$94,RAB!$C$14:$C$94,C1160)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SUMIFS(RAB!$F$14:$F$94,RAB!$C$14:$C$94,C1161)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SUMIFS(RAB!$F$14:$F$94,RAB!$C$14:$C$94,C1162)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SUMIFS(RAB!$F$14:$F$94,RAB!$C$14:$C$94,C1163)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SUMIFS(RAB!$F$14:$F$94,RAB!$C$14:$C$94,C1164)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SUMIFS(RAB!$F$14:$F$94,RAB!$C$14:$C$94,C1165)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SUMIFS(RAB!$F$14:$F$94,RAB!$C$14:$C$94,C1166)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SUMIFS(RAB!$F$14:$F$94,RAB!$C$14:$C$94,C1167)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SUMIFS(RAB!$F$14:$F$94,RAB!$C$14:$C$94,C1168)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SUMIFS(RAB!$F$14:$F$94,RAB!$C$14:$C$94,C1169)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SUMIFS(RAB!$F$14:$F$94,RAB!$C$14:$C$94,C1170)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SUMIFS(RAB!$F$14:$F$94,RAB!$C$14:$C$94,C1171)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SUMIFS(RAB!$F$14:$F$94,RAB!$C$14:$C$94,C1172)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SUMIFS(RAB!$F$14:$F$94,RAB!$C$14:$C$94,C1173)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SUMIFS(RAB!$F$14:$F$94,RAB!$C$14:$C$94,C1174)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SUMIFS(RAB!$F$14:$F$94,RAB!$C$14:$C$94,C1175)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SUMIFS(RAB!$F$14:$F$94,RAB!$C$14:$C$94,C1176)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SUMIFS(RAB!$F$14:$F$94,RAB!$C$14:$C$94,C1177)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SUMIFS(RAB!$F$14:$F$94,RAB!$C$14:$C$94,C1178)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SUMIFS(RAB!$F$14:$F$94,RAB!$C$14:$C$94,C1179)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SUMIFS(RAB!$F$14:$F$94,RAB!$C$14:$C$94,C1180)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SUMIFS(RAB!$F$14:$F$94,RAB!$C$14:$C$94,C1181)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SUMIFS(RAB!$F$14:$F$94,RAB!$C$14:$C$94,C1182)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SUMIFS(RAB!$F$14:$F$94,RAB!$C$14:$C$94,C1183)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SUMIFS(RAB!$F$14:$F$94,RAB!$C$14:$C$94,C1184)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SUMIFS(RAB!$F$14:$F$94,RAB!$C$14:$C$94,C1185)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SUMIFS(RAB!$F$14:$F$94,RAB!$C$14:$C$94,C1186)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SUMIFS(RAB!$F$14:$F$94,RAB!$C$14:$C$94,C1187)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SUMIFS(RAB!$F$14:$F$94,RAB!$C$14:$C$94,C1188)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SUMIFS(RAB!$F$14:$F$94,RAB!$C$14:$C$94,C1189)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SUMIFS(RAB!$F$14:$F$94,RAB!$C$14:$C$94,C1190)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SUMIFS(RAB!$F$14:$F$94,RAB!$C$14:$C$94,C1191)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SUMIFS(RAB!$F$14:$F$94,RAB!$C$14:$C$94,C1192)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SUMIFS(RAB!$F$14:$F$94,RAB!$C$14:$C$94,C1193)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SUMIFS(RAB!$F$14:$F$94,RAB!$C$14:$C$94,C1194)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SUMIFS(RAB!$F$14:$F$94,RAB!$C$14:$C$94,C1195)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SUMIFS(RAB!$F$14:$F$94,RAB!$C$14:$C$94,C1196)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SUMIFS(RAB!$F$14:$F$94,RAB!$C$14:$C$94,C1197)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SUMIFS(RAB!$F$14:$F$94,RAB!$C$14:$C$94,C1198)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SUMIFS(RAB!$F$14:$F$94,RAB!$C$14:$C$94,C1199)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SUMIFS(RAB!$F$14:$F$94,RAB!$C$14:$C$94,C1200)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SUMIFS(RAB!$F$14:$F$94,RAB!$C$14:$C$94,C1201)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SUMIFS(RAB!$F$14:$F$94,RAB!$C$14:$C$94,C1202)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SUMIFS(RAB!$F$14:$F$94,RAB!$C$14:$C$94,C1203)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SUMIFS(RAB!$F$14:$F$94,RAB!$C$14:$C$94,C1204)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SUMIFS(RAB!$F$14:$F$94,RAB!$C$14:$C$94,C1205)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SUMIFS(RAB!$F$14:$F$94,RAB!$C$14:$C$94,C1206)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SUMIFS(RAB!$F$14:$F$94,RAB!$C$14:$C$94,C1207)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SUMIFS(RAB!$F$14:$F$94,RAB!$C$14:$C$94,C1208)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SUMIFS(RAB!$F$14:$F$94,RAB!$C$14:$C$94,C1209)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SUMIFS(RAB!$F$14:$F$94,RAB!$C$14:$C$94,C1210)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SUMIFS(RAB!$F$14:$F$94,RAB!$C$14:$C$94,C1211)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SUMIFS(RAB!$F$14:$F$94,RAB!$C$14:$C$94,C1212)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SUMIFS(RAB!$F$14:$F$94,RAB!$C$14:$C$94,C1213)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SUMIFS(RAB!$F$14:$F$94,RAB!$C$14:$C$94,C1214)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SUMIFS(RAB!$F$14:$F$94,RAB!$C$14:$C$94,C1215)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SUMIFS(RAB!$F$14:$F$94,RAB!$C$14:$C$94,C1216)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SUMIFS(RAB!$F$14:$F$94,RAB!$C$14:$C$94,C1217)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SUMIFS(RAB!$F$14:$F$94,RAB!$C$14:$C$94,C1218)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SUMIFS(RAB!$F$14:$F$94,RAB!$C$14:$C$94,C1219)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SUMIFS(RAB!$F$14:$F$94,RAB!$C$14:$C$94,C1220)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SUMIFS(RAB!$F$14:$F$94,RAB!$C$14:$C$94,C1221)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SUMIFS(RAB!$F$14:$F$94,RAB!$C$14:$C$94,C1222)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SUMIFS(RAB!$F$14:$F$94,RAB!$C$14:$C$94,C1223)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SUMIFS(RAB!$F$14:$F$94,RAB!$C$14:$C$94,C1224)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SUMIFS(RAB!$F$14:$F$94,RAB!$C$14:$C$94,C1225)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SUMIFS(RAB!$F$14:$F$94,RAB!$C$14:$C$94,C1226)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SUMIFS(RAB!$F$14:$F$94,RAB!$C$14:$C$94,C1227)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SUMIFS(RAB!$F$14:$F$94,RAB!$C$14:$C$94,C1228)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SUMIFS(RAB!$F$14:$F$94,RAB!$C$14:$C$94,C1229)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SUMIFS(RAB!$F$14:$F$94,RAB!$C$14:$C$94,C1230)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SUMIFS(RAB!$F$14:$F$94,RAB!$C$14:$C$94,C1231)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SUMIFS(RAB!$F$14:$F$94,RAB!$C$14:$C$94,C1232)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SUMIFS(RAB!$F$14:$F$94,RAB!$C$14:$C$94,C1233)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SUMIFS(RAB!$F$14:$F$94,RAB!$C$14:$C$94,C1234)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SUMIFS(RAB!$F$14:$F$94,RAB!$C$14:$C$94,C1235)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SUMIFS(RAB!$F$14:$F$94,RAB!$C$14:$C$94,C1236)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SUMIFS(RAB!$F$14:$F$94,RAB!$C$14:$C$94,C1237)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SUMIFS(RAB!$F$14:$F$94,RAB!$C$14:$C$94,C1238)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SUMIFS(RAB!$F$14:$F$94,RAB!$C$14:$C$94,C1239)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SUMIFS(RAB!$F$14:$F$94,RAB!$C$14:$C$94,C1240)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SUMIFS(RAB!$F$14:$F$94,RAB!$C$14:$C$94,C1241)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SUMIFS(RAB!$F$14:$F$94,RAB!$C$14:$C$94,C1242)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SUMIFS(RAB!$F$14:$F$94,RAB!$C$14:$C$94,C1243)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SUMIFS(RAB!$F$14:$F$94,RAB!$C$14:$C$94,C1244)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SUMIFS(RAB!$F$14:$F$94,RAB!$C$14:$C$94,C1245)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SUMIFS(RAB!$F$14:$F$94,RAB!$C$14:$C$94,C1246)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SUMIFS(RAB!$F$14:$F$94,RAB!$C$14:$C$94,C1247)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SUMIFS(RAB!$F$14:$F$94,RAB!$C$14:$C$94,C1248)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SUMIFS(RAB!$F$14:$F$94,RAB!$C$14:$C$94,C1249)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SUMIFS(RAB!$F$14:$F$94,RAB!$C$14:$C$94,C1250)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SUMIFS(RAB!$F$14:$F$94,RAB!$C$14:$C$94,C1251)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SUMIFS(RAB!$F$14:$F$94,RAB!$C$14:$C$94,C1252)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SUMIFS(RAB!$F$14:$F$94,RAB!$C$14:$C$94,C1253)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SUMIFS(RAB!$F$14:$F$94,RAB!$C$14:$C$94,C1254)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SUMIFS(RAB!$F$14:$F$94,RAB!$C$14:$C$94,C1255)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SUMIFS(RAB!$F$14:$F$94,RAB!$C$14:$C$94,C1256)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SUMIFS(RAB!$F$14:$F$94,RAB!$C$14:$C$94,C1257)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SUMIFS(RAB!$F$14:$F$94,RAB!$C$14:$C$94,C1258)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SUMIFS(RAB!$F$14:$F$94,RAB!$C$14:$C$94,C1259)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SUMIFS(RAB!$F$14:$F$94,RAB!$C$14:$C$94,C1260)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SUMIFS(RAB!$F$14:$F$94,RAB!$C$14:$C$94,C1261)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SUMIFS(RAB!$F$14:$F$94,RAB!$C$14:$C$94,C1262)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SUMIFS(RAB!$F$14:$F$94,RAB!$C$14:$C$94,C1263)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SUMIFS(RAB!$F$14:$F$94,RAB!$C$14:$C$94,C1264)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SUMIFS(RAB!$F$14:$F$94,RAB!$C$14:$C$94,C1265)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SUMIFS(RAB!$F$14:$F$94,RAB!$C$14:$C$94,C1266)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SUMIFS(RAB!$F$14:$F$94,RAB!$C$14:$C$94,C1267)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SUMIFS(RAB!$F$14:$F$94,RAB!$C$14:$C$94,C1268)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SUMIFS(RAB!$F$14:$F$94,RAB!$C$14:$C$94,C1269)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SUMIFS(RAB!$F$14:$F$94,RAB!$C$14:$C$94,C1270)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SUMIFS(RAB!$F$14:$F$94,RAB!$C$14:$C$94,C1271)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SUMIFS(RAB!$F$14:$F$94,RAB!$C$14:$C$94,C1272)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SUMIFS(RAB!$F$14:$F$94,RAB!$C$14:$C$94,C1273)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SUMIFS(RAB!$F$14:$F$94,RAB!$C$14:$C$94,C1274)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SUMIFS(RAB!$F$14:$F$94,RAB!$C$14:$C$94,C1275)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SUMIFS(RAB!$F$14:$F$94,RAB!$C$14:$C$94,C1276)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SUMIFS(RAB!$F$14:$F$94,RAB!$C$14:$C$94,C1277)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SUMIFS(RAB!$F$14:$F$94,RAB!$C$14:$C$94,C1278)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SUMIFS(RAB!$F$14:$F$94,RAB!$C$14:$C$94,C1279)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SUMIFS(RAB!$F$14:$F$94,RAB!$C$14:$C$94,C1280)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SUMIFS(RAB!$F$14:$F$94,RAB!$C$14:$C$94,C1281)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SUMIFS(RAB!$F$14:$F$94,RAB!$C$14:$C$94,C1282)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SUMIFS(RAB!$F$14:$F$94,RAB!$C$14:$C$94,C1283)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SUMIFS(RAB!$F$14:$F$94,RAB!$C$14:$C$94,C1284)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SUMIFS(RAB!$F$14:$F$94,RAB!$C$14:$C$94,C1285)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SUMIFS(RAB!$F$14:$F$94,RAB!$C$14:$C$94,C1286)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SUMIFS(RAB!$F$14:$F$94,RAB!$C$14:$C$94,C1287)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SUMIFS(RAB!$F$14:$F$94,RAB!$C$14:$C$94,C1288)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SUMIFS(RAB!$F$14:$F$94,RAB!$C$14:$C$94,C1289)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SUMIFS(RAB!$F$14:$F$94,RAB!$C$14:$C$94,C1290)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SUMIFS(RAB!$F$14:$F$94,RAB!$C$14:$C$94,C1291)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SUMIFS(RAB!$F$14:$F$94,RAB!$C$14:$C$94,C1292)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SUMIFS(RAB!$F$14:$F$94,RAB!$C$14:$C$94,C1293)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SUMIFS(RAB!$F$14:$F$94,RAB!$C$14:$C$94,C1294)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SUMIFS(RAB!$F$14:$F$94,RAB!$C$14:$C$94,C1295)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SUMIFS(RAB!$F$14:$F$94,RAB!$C$14:$C$94,C1296)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SUMIFS(RAB!$F$14:$F$94,RAB!$C$14:$C$94,C1297)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SUMIFS(RAB!$F$14:$F$94,RAB!$C$14:$C$94,C1298)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SUMIFS(RAB!$F$14:$F$94,RAB!$C$14:$C$94,C1299)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SUMIFS(RAB!$F$14:$F$94,RAB!$C$14:$C$94,C1300)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SUMIFS(RAB!$F$14:$F$94,RAB!$C$14:$C$94,C1301)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SUMIFS(RAB!$F$14:$F$94,RAB!$C$14:$C$94,C1302)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SUMIFS(RAB!$F$14:$F$94,RAB!$C$14:$C$94,C1303)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SUMIFS(RAB!$F$14:$F$94,RAB!$C$14:$C$94,C1304)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SUMIFS(RAB!$F$14:$F$94,RAB!$C$14:$C$94,C1305)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SUMIFS(RAB!$F$14:$F$94,RAB!$C$14:$C$94,C1306)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SUMIFS(RAB!$F$14:$F$94,RAB!$C$14:$C$94,C1307)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SUMIFS(RAB!$F$14:$F$94,RAB!$C$14:$C$94,C1308)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SUMIFS(RAB!$F$14:$F$94,RAB!$C$14:$C$94,C1309)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SUMIFS(RAB!$F$14:$F$94,RAB!$C$14:$C$94,C1310)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SUMIFS(RAB!$F$14:$F$94,RAB!$C$14:$C$94,C1311)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SUMIFS(RAB!$F$14:$F$94,RAB!$C$14:$C$94,C1312)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SUMIFS(RAB!$F$14:$F$94,RAB!$C$14:$C$94,C1313)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SUMIFS(RAB!$F$14:$F$94,RAB!$C$14:$C$94,C1314)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SUMIFS(RAB!$F$14:$F$94,RAB!$C$14:$C$94,C1315)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SUMIFS(RAB!$F$14:$F$94,RAB!$C$14:$C$94,C1316)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SUMIFS(RAB!$F$14:$F$94,RAB!$C$14:$C$94,C1317)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SUMIFS(RAB!$F$14:$F$94,RAB!$C$14:$C$94,C1318)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SUMIFS(RAB!$F$14:$F$94,RAB!$C$14:$C$94,C1319)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SUMIFS(RAB!$F$14:$F$94,RAB!$C$14:$C$94,C1320)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1127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IOH-14DMK0153-KARANGREJO-BONANG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KARANGREJO, KEC BONANG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17400000</v>
      </c>
      <c r="J16" s="42">
        <f t="shared" ca="1" si="3"/>
        <v>0</v>
      </c>
      <c r="K16" s="43">
        <f t="shared" ca="1" si="0"/>
        <v>17400000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3" t="s">
        <v>1008</v>
      </c>
      <c r="D38" s="543"/>
      <c r="E38" s="543"/>
      <c r="F38" s="543"/>
      <c r="G38" s="77" t="s">
        <v>9</v>
      </c>
      <c r="H38" s="55">
        <f ca="1">SUM(H14:H37)</f>
        <v>0</v>
      </c>
      <c r="I38" s="55">
        <f ca="1">SUM(I14:I37)</f>
        <v>17400000</v>
      </c>
      <c r="J38" s="55">
        <f ca="1">SUM(J14:J37)</f>
        <v>0</v>
      </c>
      <c r="K38" s="55">
        <f ca="1">SUM(K14:K37)</f>
        <v>17400000</v>
      </c>
      <c r="L38" s="44"/>
      <c r="R38" s="99"/>
      <c r="S38" s="99"/>
      <c r="T38" s="99"/>
    </row>
    <row r="39" spans="1:20" s="36" customFormat="1">
      <c r="A39" s="30"/>
      <c r="B39" s="56"/>
      <c r="C39" s="544" t="s">
        <v>462</v>
      </c>
      <c r="D39" s="544"/>
      <c r="E39" s="544"/>
      <c r="F39" s="544"/>
      <c r="G39" s="59" t="s">
        <v>9</v>
      </c>
      <c r="H39" s="60">
        <f ca="1">H38*0.1</f>
        <v>0</v>
      </c>
      <c r="I39" s="60">
        <f ca="1">I38*0.1</f>
        <v>1740000</v>
      </c>
      <c r="J39" s="60">
        <f ca="1">J38*0.1</f>
        <v>0</v>
      </c>
      <c r="K39" s="60">
        <f ca="1">K38*0.1</f>
        <v>1740000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3" t="s">
        <v>463</v>
      </c>
      <c r="D40" s="533"/>
      <c r="E40" s="533"/>
      <c r="F40" s="533"/>
      <c r="G40" s="61" t="s">
        <v>9</v>
      </c>
      <c r="H40" s="78">
        <f ca="1">SUM(H38:H39)</f>
        <v>0</v>
      </c>
      <c r="I40" s="78">
        <f ca="1">SUM(I38:I39)</f>
        <v>19140000</v>
      </c>
      <c r="J40" s="61">
        <f ca="1">SUM(J38:J39)</f>
        <v>0</v>
      </c>
      <c r="K40" s="61">
        <f ca="1">SUM(K38:K39)</f>
        <v>19140000</v>
      </c>
      <c r="L40" s="44"/>
      <c r="R40" s="99"/>
      <c r="S40" s="99"/>
      <c r="T40" s="99"/>
    </row>
    <row r="41" spans="1:20" s="36" customFormat="1">
      <c r="A41" s="30"/>
      <c r="B41" s="536" t="e">
        <f ca="1">"Terbilang : ( "&amp;L42&amp;" Rupiah )"</f>
        <v>#NAME?</v>
      </c>
      <c r="C41" s="537"/>
      <c r="D41" s="537"/>
      <c r="E41" s="537"/>
      <c r="F41" s="537"/>
      <c r="G41" s="537"/>
      <c r="H41" s="537"/>
      <c r="I41" s="537"/>
      <c r="J41" s="537"/>
      <c r="K41" s="538"/>
      <c r="L41" s="44"/>
      <c r="R41" s="58"/>
      <c r="S41" s="58"/>
      <c r="T41" s="58"/>
    </row>
    <row r="42" spans="1:20" s="36" customFormat="1">
      <c r="A42" s="30"/>
      <c r="B42" s="539"/>
      <c r="C42" s="540"/>
      <c r="D42" s="540"/>
      <c r="E42" s="540"/>
      <c r="F42" s="540"/>
      <c r="G42" s="540"/>
      <c r="H42" s="540"/>
      <c r="I42" s="540"/>
      <c r="J42" s="540"/>
      <c r="K42" s="541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SUMIFS(RAB!$F$14:$F$94,RAB!$C$14:$C$94,'REKAP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SUMIFS(RAB!$F$14:$F$94,RAB!$C$14:$C$94,'REKAP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SUMIFS(RAB!$F$14:$F$94,RAB!$C$14:$C$94,'REKAP TIANG'!C59)</f>
        <v>3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SUMIFS(RAB!$F$14:$F$94,RAB!$C$14:$C$94,'REKAP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SUMIFS(RAB!$F$14:$F$94,RAB!$C$14:$C$94,'REKAP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SUMIFS(RAB!$F$14:$F$94,RAB!$C$14:$C$94,'REKAP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SUMIFS(RAB!$F$14:$F$94,RAB!$C$14:$C$94,'REKAP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SUMIFS(RAB!$F$14:$F$94,RAB!$C$14:$C$94,'REKAP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SUMIFS(RAB!$F$14:$F$94,RAB!$C$14:$C$94,'REKAP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SUMIFS(RAB!$F$14:$F$94,RAB!$C$14:$C$94,'REKAP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SUMIFS(RAB!$F$14:$F$94,RAB!$C$14:$C$94,'REKAP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SUMIFS(RAB!$F$14:$F$94,RAB!$C$14:$C$94,'REKAP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SUMIFS(RAB!$F$14:$F$94,RAB!$C$14:$C$94,'REKAP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SUMIFS(RAB!$F$14:$F$94,RAB!$C$14:$C$94,'REKAP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SUMIFS(RAB!$F$14:$F$94,RAB!$C$14:$C$94,'REKAP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SUMIFS(RAB!$F$14:$F$94,RAB!$C$14:$C$94,'REKAP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SUMIFS(RAB!$F$14:$F$94,RAB!$C$14:$C$94,'REKAP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SUMIFS(RAB!$F$14:$F$94,RAB!$C$14:$C$94,'REKAP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SUMIFS(RAB!$F$14:$F$94,RAB!$C$14:$C$94,'REKAP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SUMIFS(RAB!$F$14:$F$94,RAB!$C$14:$C$94,'REKAP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1034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IOH-14DMK0153-KARANGREJO-BONANG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KARANGREJO, KEC BONANG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175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9327500</v>
      </c>
      <c r="I21" s="42">
        <f t="shared" ca="1" si="2"/>
        <v>0</v>
      </c>
      <c r="J21" s="42">
        <f t="shared" ca="1" si="3"/>
        <v>0</v>
      </c>
      <c r="K21" s="43">
        <f t="shared" ca="1" si="0"/>
        <v>9327500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35</v>
      </c>
      <c r="G22" s="41">
        <f ca="1">IF(ISERROR(OFFSET('HARGA SATUAN'!$I$6,MATCH(C22,'HARGA SATUAN'!$C$7:$C$1492,0),0)),"",OFFSET('HARGA SATUAN'!$I$6,MATCH(C22,'HARGA SATUAN'!$C$7:$C$1492,0),0))</f>
        <v>6600</v>
      </c>
      <c r="H22" s="42">
        <f t="shared" ca="1" si="1"/>
        <v>231000</v>
      </c>
      <c r="I22" s="42">
        <f t="shared" ca="1" si="2"/>
        <v>0</v>
      </c>
      <c r="J22" s="42">
        <f t="shared" ca="1" si="3"/>
        <v>0</v>
      </c>
      <c r="K22" s="43">
        <f t="shared" ca="1" si="0"/>
        <v>231000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3" t="s">
        <v>1008</v>
      </c>
      <c r="D168" s="543"/>
      <c r="E168" s="543"/>
      <c r="F168" s="543"/>
      <c r="G168" s="77" t="s">
        <v>9</v>
      </c>
      <c r="H168" s="55">
        <f ca="1">SUM(H14:H167)</f>
        <v>40060300</v>
      </c>
      <c r="I168" s="55">
        <f ca="1">SUM(I14:I167)</f>
        <v>0</v>
      </c>
      <c r="J168" s="55">
        <f ca="1">SUM(J14:J167)</f>
        <v>0</v>
      </c>
      <c r="K168" s="55">
        <f ca="1">SUM(K14:K167)</f>
        <v>40060300</v>
      </c>
      <c r="L168" s="44"/>
      <c r="R168" s="99"/>
      <c r="S168" s="99"/>
      <c r="T168" s="99"/>
    </row>
    <row r="169" spans="1:20" s="36" customFormat="1">
      <c r="A169" s="30"/>
      <c r="B169" s="56"/>
      <c r="C169" s="544" t="s">
        <v>462</v>
      </c>
      <c r="D169" s="544"/>
      <c r="E169" s="544"/>
      <c r="F169" s="544"/>
      <c r="G169" s="59" t="s">
        <v>9</v>
      </c>
      <c r="H169" s="60">
        <f ca="1">H168*0.1</f>
        <v>4006030</v>
      </c>
      <c r="I169" s="60">
        <f ca="1">I168*0.1</f>
        <v>0</v>
      </c>
      <c r="J169" s="60">
        <f ca="1">J168*0.1</f>
        <v>0</v>
      </c>
      <c r="K169" s="60">
        <f ca="1">K168*0.1</f>
        <v>4006030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3" t="s">
        <v>463</v>
      </c>
      <c r="D170" s="533"/>
      <c r="E170" s="533"/>
      <c r="F170" s="533"/>
      <c r="G170" s="61" t="s">
        <v>9</v>
      </c>
      <c r="H170" s="78">
        <f ca="1">SUM(H168:H169)</f>
        <v>44066330</v>
      </c>
      <c r="I170" s="78">
        <f ca="1">SUM(I168:I169)</f>
        <v>0</v>
      </c>
      <c r="J170" s="61">
        <f ca="1">SUM(J168:J169)</f>
        <v>0</v>
      </c>
      <c r="K170" s="61">
        <f ca="1">SUM(K168:K169)</f>
        <v>44066330</v>
      </c>
      <c r="L170" s="44"/>
      <c r="R170" s="99"/>
      <c r="S170" s="99"/>
      <c r="T170" s="99"/>
    </row>
    <row r="171" spans="1:20" s="36" customFormat="1">
      <c r="A171" s="30"/>
      <c r="B171" s="536" t="e">
        <f ca="1">"Terbilang : ( "&amp;L172&amp;" Rupiah )"</f>
        <v>#NAME?</v>
      </c>
      <c r="C171" s="537"/>
      <c r="D171" s="537"/>
      <c r="E171" s="537"/>
      <c r="F171" s="537"/>
      <c r="G171" s="537"/>
      <c r="H171" s="537"/>
      <c r="I171" s="537"/>
      <c r="J171" s="537"/>
      <c r="K171" s="538"/>
      <c r="L171" s="44"/>
      <c r="R171" s="58"/>
      <c r="S171" s="58"/>
      <c r="T171" s="58"/>
    </row>
    <row r="172" spans="1:20" s="36" customFormat="1">
      <c r="A172" s="30"/>
      <c r="B172" s="539"/>
      <c r="C172" s="540"/>
      <c r="D172" s="540"/>
      <c r="E172" s="540"/>
      <c r="F172" s="540"/>
      <c r="G172" s="540"/>
      <c r="H172" s="540"/>
      <c r="I172" s="540"/>
      <c r="J172" s="540"/>
      <c r="K172" s="541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SUMIFS(RAB!$F$14:$F$94,RAB!$C$14:$C$94,C224)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SUMIFS(RAB!$F$14:$F$94,RAB!$C$14:$C$94,C225)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SUMIFS(RAB!$F$14:$F$94,RAB!$C$14:$C$94,C226)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SUMIFS(RAB!$F$14:$F$94,RAB!$C$14:$C$94,C227)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SUMIFS(RAB!$F$14:$F$94,RAB!$C$14:$C$94,C228)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SUMIFS(RAB!$F$14:$F$94,RAB!$C$14:$C$94,C229)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SUMIFS(RAB!$F$14:$F$94,RAB!$C$14:$C$94,C230)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SUMIFS(RAB!$F$14:$F$94,RAB!$C$14:$C$94,C231)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SUMIFS(RAB!$F$14:$F$94,RAB!$C$14:$C$94,C232)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SUMIFS(RAB!$F$14:$F$94,RAB!$C$14:$C$94,C233)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SUMIFS(RAB!$F$14:$F$94,RAB!$C$14:$C$94,C234)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SUMIFS(RAB!$F$14:$F$94,RAB!$C$14:$C$94,C235)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SUMIFS(RAB!$F$14:$F$94,RAB!$C$14:$C$94,C236)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SUMIFS(RAB!$F$14:$F$94,RAB!$C$14:$C$94,C237)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SUMIFS(RAB!$F$14:$F$94,RAB!$C$14:$C$94,C238)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SUMIFS(RAB!$F$14:$F$94,RAB!$C$14:$C$94,C239)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SUMIFS(RAB!$F$14:$F$94,RAB!$C$14:$C$94,C240)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SUMIFS(RAB!$F$14:$F$94,RAB!$C$14:$C$94,C241)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SUMIFS(RAB!$F$14:$F$94,RAB!$C$14:$C$94,C242)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SUMIFS(RAB!$F$14:$F$94,RAB!$C$14:$C$94,C243)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SUMIFS(RAB!$F$14:$F$94,RAB!$C$14:$C$94,C244)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SUMIFS(RAB!$F$14:$F$94,RAB!$C$14:$C$94,C245)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SUMIFS(RAB!$F$14:$F$94,RAB!$C$14:$C$94,C246)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SUMIFS(RAB!$F$14:$F$94,RAB!$C$14:$C$94,C247)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SUMIFS(RAB!$F$14:$F$94,RAB!$C$14:$C$94,C248)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SUMIFS(RAB!$F$14:$F$94,RAB!$C$14:$C$94,C249)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SUMIFS(RAB!$F$14:$F$94,RAB!$C$14:$C$94,C250)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SUMIFS(RAB!$F$14:$F$94,RAB!$C$14:$C$94,C251)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SUMIFS(RAB!$F$14:$F$94,RAB!$C$14:$C$94,C252)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SUMIFS(RAB!$F$14:$F$94,RAB!$C$14:$C$94,C253)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SUMIFS(RAB!$F$14:$F$94,RAB!$C$14:$C$94,C254)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SUMIFS(RAB!$F$14:$F$94,RAB!$C$14:$C$94,C255)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SUMIFS(RAB!$F$14:$F$94,RAB!$C$14:$C$94,C256)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SUMIFS(RAB!$F$14:$F$94,RAB!$C$14:$C$94,C257)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SUMIFS(RAB!$F$14:$F$94,RAB!$C$14:$C$94,C258)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SUMIFS(RAB!$F$14:$F$94,RAB!$C$14:$C$94,C259)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SUMIFS(RAB!$F$14:$F$94,RAB!$C$14:$C$94,C260)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SUMIFS(RAB!$F$14:$F$94,RAB!$C$14:$C$94,C261)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SUMIFS(RAB!$F$14:$F$94,RAB!$C$14:$C$94,C262)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SUMIFS(RAB!$F$14:$F$94,RAB!$C$14:$C$94,C263)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SUMIFS(RAB!$F$14:$F$94,RAB!$C$14:$C$94,C264)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SUMIFS(RAB!$F$14:$F$94,RAB!$C$14:$C$94,C265)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SUMIFS(RAB!$F$14:$F$94,RAB!$C$14:$C$94,C266)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SUMIFS(RAB!$F$14:$F$94,RAB!$C$14:$C$94,C267)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SUMIFS(RAB!$F$14:$F$94,RAB!$C$14:$C$94,C268)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SUMIFS(RAB!$F$14:$F$94,RAB!$C$14:$C$94,C269)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SUMIFS(RAB!$F$14:$F$94,RAB!$C$14:$C$94,C270)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SUMIFS(RAB!$F$14:$F$94,RAB!$C$14:$C$94,C271)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SUMIFS(RAB!$F$14:$F$94,RAB!$C$14:$C$94,C272)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SUMIFS(RAB!$F$14:$F$94,RAB!$C$14:$C$94,C273)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SUMIFS(RAB!$F$14:$F$94,RAB!$C$14:$C$94,C274)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SUMIFS(RAB!$F$14:$F$94,RAB!$C$14:$C$94,C275)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SUMIFS(RAB!$F$14:$F$94,RAB!$C$14:$C$94,C276)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SUMIFS(RAB!$F$14:$F$94,RAB!$C$14:$C$94,C277)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SUMIFS(RAB!$F$14:$F$94,RAB!$C$14:$C$94,C278)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SUMIFS(RAB!$F$14:$F$94,RAB!$C$14:$C$94,C279)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SUMIFS(RAB!$F$14:$F$94,RAB!$C$14:$C$94,C280)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SUMIFS(RAB!$F$14:$F$94,RAB!$C$14:$C$94,C281)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SUMIFS(RAB!$F$14:$F$94,RAB!$C$14:$C$94,C282)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SUMIFS(RAB!$F$14:$F$94,RAB!$C$14:$C$94,C283)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SUMIFS(RAB!$F$14:$F$94,RAB!$C$14:$C$94,C284)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SUMIFS(RAB!$F$14:$F$94,RAB!$C$14:$C$94,C285)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SUMIFS(RAB!$F$14:$F$94,RAB!$C$14:$C$94,C286)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SUMIFS(RAB!$F$14:$F$94,RAB!$C$14:$C$94,C287)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SUMIFS(RAB!$F$14:$F$94,RAB!$C$14:$C$94,C288)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SUMIFS(RAB!$F$14:$F$94,RAB!$C$14:$C$94,C289)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SUMIFS(RAB!$F$14:$F$94,RAB!$C$14:$C$94,C290)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SUMIFS(RAB!$F$14:$F$94,RAB!$C$14:$C$94,C291)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SUMIFS(RAB!$F$14:$F$94,RAB!$C$14:$C$94,C292)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SUMIFS(RAB!$F$14:$F$94,RAB!$C$14:$C$94,C293)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SUMIFS(RAB!$F$14:$F$94,RAB!$C$14:$C$94,C294)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SUMIFS(RAB!$F$14:$F$94,RAB!$C$14:$C$94,C295)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SUMIFS(RAB!$F$14:$F$94,RAB!$C$14:$C$94,C296)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SUMIFS(RAB!$F$14:$F$94,RAB!$C$14:$C$94,C297)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SUMIFS(RAB!$F$14:$F$94,RAB!$C$14:$C$94,C298)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SUMIFS(RAB!$F$14:$F$94,RAB!$C$14:$C$94,C299)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SUMIFS(RAB!$F$14:$F$94,RAB!$C$14:$C$94,C300)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SUMIFS(RAB!$F$14:$F$94,RAB!$C$14:$C$94,C301)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SUMIFS(RAB!$F$14:$F$94,RAB!$C$14:$C$94,C302)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SUMIFS(RAB!$F$14:$F$94,RAB!$C$14:$C$94,C303)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SUMIFS(RAB!$F$14:$F$94,RAB!$C$14:$C$94,C304)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SUMIFS(RAB!$F$14:$F$94,RAB!$C$14:$C$94,C305)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SUMIFS(RAB!$F$14:$F$94,RAB!$C$14:$C$94,C306)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SUMIFS(RAB!$F$14:$F$94,RAB!$C$14:$C$94,C307)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SUMIFS(RAB!$F$14:$F$94,RAB!$C$14:$C$94,C308)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SUMIFS(RAB!$F$14:$F$94,RAB!$C$14:$C$94,C309)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SUMIFS(RAB!$F$14:$F$94,RAB!$C$14:$C$94,C310)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SUMIFS(RAB!$F$14:$F$94,RAB!$C$14:$C$94,C311)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SUMIFS(RAB!$F$14:$F$94,RAB!$C$14:$C$94,C312)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SUMIFS(RAB!$F$14:$F$94,RAB!$C$14:$C$94,C313)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SUMIFS(RAB!$F$14:$F$94,RAB!$C$14:$C$94,C314)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SUMIFS(RAB!$F$14:$F$94,RAB!$C$14:$C$94,C315)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SUMIFS(RAB!$F$14:$F$94,RAB!$C$14:$C$94,C316)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SUMIFS(RAB!$F$14:$F$94,RAB!$C$14:$C$94,C317)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SUMIFS(RAB!$F$14:$F$94,RAB!$C$14:$C$94,C318)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SUMIFS(RAB!$F$14:$F$94,RAB!$C$14:$C$94,C319)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SUMIFS(RAB!$F$14:$F$94,RAB!$C$14:$C$94,C320)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SUMIFS(RAB!$F$14:$F$94,RAB!$C$14:$C$94,C321)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SUMIFS(RAB!$F$14:$F$94,RAB!$C$14:$C$94,C322)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SUMIFS(RAB!$F$14:$F$94,RAB!$C$14:$C$94,C323)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SUMIFS(RAB!$F$14:$F$94,RAB!$C$14:$C$94,C324)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SUMIFS(RAB!$F$14:$F$94,RAB!$C$14:$C$94,C325)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SUMIFS(RAB!$F$14:$F$94,RAB!$C$14:$C$94,C326)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SUMIFS(RAB!$F$14:$F$94,RAB!$C$14:$C$94,C327)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SUMIFS(RAB!$F$14:$F$94,RAB!$C$14:$C$94,C328)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SUMIFS(RAB!$F$14:$F$94,RAB!$C$14:$C$94,C329)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SUMIFS(RAB!$F$14:$F$94,RAB!$C$14:$C$94,C330)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SUMIFS(RAB!$F$14:$F$94,RAB!$C$14:$C$94,C331)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SUMIFS(RAB!$F$14:$F$94,RAB!$C$14:$C$94,C332)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SUMIFS(RAB!$F$14:$F$94,RAB!$C$14:$C$94,C333)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SUMIFS(RAB!$F$14:$F$94,RAB!$C$14:$C$94,C334)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SUMIFS(RAB!$F$14:$F$94,RAB!$C$14:$C$94,C335)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SUMIFS(RAB!$F$14:$F$94,RAB!$C$14:$C$94,C336)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SUMIFS(RAB!$F$14:$F$94,RAB!$C$14:$C$94,C337)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SUMIFS(RAB!$F$14:$F$94,RAB!$C$14:$C$94,C338)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SUMIFS(RAB!$F$14:$F$94,RAB!$C$14:$C$94,C339)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SUMIFS(RAB!$F$14:$F$94,RAB!$C$14:$C$94,C340)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SUMIFS(RAB!$F$14:$F$94,RAB!$C$14:$C$94,C341)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SUMIFS(RAB!$F$14:$F$94,RAB!$C$14:$C$94,C342)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SUMIFS(RAB!$F$14:$F$94,RAB!$C$14:$C$94,C343)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SUMIFS(RAB!$F$14:$F$94,RAB!$C$14:$C$94,C344)</f>
        <v>175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SUMIFS(RAB!$F$14:$F$94,RAB!$C$14:$C$94,C345)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SUMIFS(RAB!$F$14:$F$94,RAB!$C$14:$C$94,C346)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SUMIFS(RAB!$F$14:$F$94,RAB!$C$14:$C$94,C347)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SUMIFS(RAB!$F$14:$F$94,RAB!$C$14:$C$94,C348)</f>
        <v>35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SUMIFS(RAB!$F$14:$F$94,RAB!$C$14:$C$94,C349)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SUMIFS(RAB!$F$14:$F$94,RAB!$C$14:$C$94,C350)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SUMIFS(RAB!$F$14:$F$94,RAB!$C$14:$C$94,C351)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SUMIFS(RAB!$F$14:$F$94,RAB!$C$14:$C$94,C352)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SUMIFS(RAB!$F$14:$F$94,RAB!$C$14:$C$94,C353)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SUMIFS(RAB!$F$14:$F$94,RAB!$C$14:$C$94,C354)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SUMIFS(RAB!$F$14:$F$94,RAB!$C$14:$C$94,C355)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SUMIFS(RAB!$F$14:$F$94,RAB!$C$14:$C$94,C356)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SUMIFS(RAB!$F$14:$F$94,RAB!$C$14:$C$94,C357)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SUMIFS(RAB!$F$14:$F$94,RAB!$C$14:$C$94,C358)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SUMIFS(RAB!$F$14:$F$94,RAB!$C$14:$C$94,C359)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SUMIFS(RAB!$F$14:$F$94,RAB!$C$14:$C$94,C360)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SUMIFS(RAB!$F$14:$F$94,RAB!$C$14:$C$94,C361)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SUMIFS(RAB!$F$14:$F$94,RAB!$C$14:$C$94,C362)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SUMIFS(RAB!$F$14:$F$94,RAB!$C$14:$C$94,C363)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SUMIFS(RAB!$F$14:$F$94,RAB!$C$14:$C$94,C364)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SUMIFS(RAB!$F$14:$F$94,RAB!$C$14:$C$94,C365)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SUMIFS(RAB!$F$14:$F$94,RAB!$C$14:$C$94,C366)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SUMIFS(RAB!$F$14:$F$94,RAB!$C$14:$C$94,C367)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SUMIFS(RAB!$F$14:$F$94,RAB!$C$14:$C$94,C368)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SUMIFS(RAB!$F$14:$F$94,RAB!$C$14:$C$94,C369)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SUMIFS(RAB!$F$14:$F$94,RAB!$C$14:$C$94,C370)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SUMIFS(RAB!$F$14:$F$94,RAB!$C$14:$C$94,C371)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SUMIFS(RAB!$F$14:$F$94,RAB!$C$14:$C$94,C372)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SUMIFS(RAB!$F$14:$F$94,RAB!$C$14:$C$94,C373)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O20" sqref="O2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1604</v>
      </c>
      <c r="G4" s="108" t="s">
        <v>1603</v>
      </c>
      <c r="H4" s="56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8" t="s">
        <v>1454</v>
      </c>
      <c r="C2" s="568"/>
      <c r="D2" s="568"/>
      <c r="E2" s="568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3" t="s">
        <v>1532</v>
      </c>
      <c r="C4" s="574"/>
      <c r="D4" s="574"/>
      <c r="E4" s="575"/>
      <c r="F4" s="442"/>
      <c r="G4" s="442"/>
      <c r="H4" s="443"/>
      <c r="I4" s="600" t="s">
        <v>1533</v>
      </c>
      <c r="J4" s="601"/>
      <c r="K4" s="601"/>
      <c r="L4" s="602"/>
    </row>
    <row r="5" spans="1:12" ht="34.5" customHeight="1">
      <c r="A5" s="204"/>
      <c r="B5" s="445" t="s">
        <v>1379</v>
      </c>
      <c r="C5" s="277" t="s">
        <v>9</v>
      </c>
      <c r="D5" s="569" t="str">
        <f>DATA!D14</f>
        <v>IOH-14DMK0153-KARANGREJO-BONANG</v>
      </c>
      <c r="E5" s="570"/>
      <c r="F5" s="208"/>
      <c r="G5" s="208"/>
      <c r="I5" s="446" t="s">
        <v>1379</v>
      </c>
      <c r="J5" s="277" t="s">
        <v>9</v>
      </c>
      <c r="K5" s="603" t="str">
        <f>D5</f>
        <v>IOH-14DMK0153-KARANGREJO-BONANG</v>
      </c>
      <c r="L5" s="604"/>
    </row>
    <row r="6" spans="1:12" ht="31.5" customHeight="1">
      <c r="A6" s="204"/>
      <c r="B6" s="445" t="s">
        <v>1529</v>
      </c>
      <c r="C6" s="277" t="s">
        <v>9</v>
      </c>
      <c r="D6" s="578">
        <f>DATA!D17*1000</f>
        <v>0</v>
      </c>
      <c r="E6" s="579"/>
      <c r="F6" s="208"/>
      <c r="G6" s="208"/>
      <c r="I6" s="446" t="s">
        <v>1530</v>
      </c>
      <c r="J6" s="277" t="s">
        <v>9</v>
      </c>
      <c r="K6" s="605">
        <f>DATA!D20*1000</f>
        <v>11000</v>
      </c>
      <c r="L6" s="606"/>
    </row>
    <row r="7" spans="1:12" ht="30.75" customHeight="1">
      <c r="A7" s="204"/>
      <c r="B7" s="445" t="s">
        <v>1441</v>
      </c>
      <c r="C7" s="277" t="s">
        <v>9</v>
      </c>
      <c r="D7" s="576">
        <f>DATA!D18</f>
        <v>1</v>
      </c>
      <c r="E7" s="577"/>
      <c r="F7" s="444" t="s">
        <v>1453</v>
      </c>
      <c r="I7" s="446" t="s">
        <v>1441</v>
      </c>
      <c r="J7" s="277" t="s">
        <v>9</v>
      </c>
      <c r="K7" s="607">
        <f>DATA!D21</f>
        <v>1</v>
      </c>
      <c r="L7" s="608"/>
    </row>
    <row r="8" spans="1:12" ht="51" customHeight="1">
      <c r="A8" s="204"/>
      <c r="B8" s="445" t="s">
        <v>1442</v>
      </c>
      <c r="C8" s="277" t="s">
        <v>9</v>
      </c>
      <c r="D8" s="576">
        <f>DATA!D19</f>
        <v>220</v>
      </c>
      <c r="E8" s="577"/>
      <c r="F8" s="444" t="s">
        <v>1453</v>
      </c>
      <c r="G8" s="439">
        <v>220</v>
      </c>
      <c r="I8" s="446" t="s">
        <v>1442</v>
      </c>
      <c r="J8" s="277" t="s">
        <v>9</v>
      </c>
      <c r="K8" s="607">
        <f>DATA!D22</f>
        <v>220</v>
      </c>
      <c r="L8" s="608"/>
    </row>
    <row r="9" spans="1:12" ht="30" customHeight="1" thickBot="1">
      <c r="A9" s="204"/>
      <c r="B9" s="451" t="s">
        <v>1541</v>
      </c>
      <c r="C9" s="441" t="s">
        <v>9</v>
      </c>
      <c r="D9" s="571">
        <f>IF(D7=1,D6/(380/3^0.5),(D6/(380*3^0.5)))</f>
        <v>0</v>
      </c>
      <c r="E9" s="572"/>
      <c r="F9" s="207"/>
      <c r="G9" s="440">
        <v>380</v>
      </c>
      <c r="I9" s="452" t="s">
        <v>1541</v>
      </c>
      <c r="J9" s="441" t="s">
        <v>9</v>
      </c>
      <c r="K9" s="609">
        <f>IF(K7=1,K6/(380/3^0.5),(K6/(380*3^0.5)))</f>
        <v>50.138312850678027</v>
      </c>
      <c r="L9" s="610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80"/>
      <c r="E12" s="581"/>
      <c r="F12" s="208"/>
      <c r="G12" s="208"/>
      <c r="I12" s="468" t="s">
        <v>1534</v>
      </c>
      <c r="J12" s="469" t="s">
        <v>9</v>
      </c>
      <c r="K12" s="580"/>
      <c r="L12" s="581"/>
    </row>
    <row r="13" spans="1:12" ht="31.5" customHeight="1">
      <c r="A13" s="204"/>
      <c r="B13" s="476" t="s">
        <v>1380</v>
      </c>
      <c r="C13" s="456" t="s">
        <v>9</v>
      </c>
      <c r="D13" s="584"/>
      <c r="E13" s="585"/>
      <c r="F13" s="208"/>
      <c r="G13" s="208"/>
      <c r="I13" s="470" t="s">
        <v>1380</v>
      </c>
      <c r="J13" s="456" t="s">
        <v>9</v>
      </c>
      <c r="K13" s="584"/>
      <c r="L13" s="585"/>
    </row>
    <row r="14" spans="1:12" ht="30.75" customHeight="1">
      <c r="A14" s="204"/>
      <c r="B14" s="476" t="s">
        <v>1535</v>
      </c>
      <c r="C14" s="456" t="s">
        <v>9</v>
      </c>
      <c r="D14" s="592"/>
      <c r="E14" s="593"/>
      <c r="F14" s="444" t="s">
        <v>1453</v>
      </c>
      <c r="G14" s="448">
        <v>50</v>
      </c>
      <c r="I14" s="470" t="s">
        <v>1535</v>
      </c>
      <c r="J14" s="456" t="s">
        <v>9</v>
      </c>
      <c r="K14" s="594"/>
      <c r="L14" s="595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96">
        <v>0</v>
      </c>
      <c r="E16" s="597"/>
      <c r="F16" s="444"/>
      <c r="G16" s="448">
        <v>160</v>
      </c>
      <c r="I16" s="470" t="s">
        <v>1537</v>
      </c>
      <c r="J16" s="456" t="s">
        <v>9</v>
      </c>
      <c r="K16" s="598">
        <f>K9</f>
        <v>50.138312850678027</v>
      </c>
      <c r="L16" s="599"/>
    </row>
    <row r="17" spans="1:12" ht="34.5" customHeight="1">
      <c r="A17" s="204"/>
      <c r="B17" s="476" t="s">
        <v>1538</v>
      </c>
      <c r="C17" s="456" t="s">
        <v>9</v>
      </c>
      <c r="D17" s="586">
        <f>IF(D15=1,D14/(20/3^0.5),(D14/(20*3^0.5)))</f>
        <v>0</v>
      </c>
      <c r="E17" s="587"/>
      <c r="F17" s="444" t="s">
        <v>1453</v>
      </c>
      <c r="G17" s="449">
        <v>200</v>
      </c>
      <c r="I17" s="470" t="s">
        <v>1538</v>
      </c>
      <c r="J17" s="456" t="s">
        <v>9</v>
      </c>
      <c r="K17" s="590">
        <f>IF(K15=1,K14/(20/3^0.5),(K14/(20*3^0.5)))</f>
        <v>0</v>
      </c>
      <c r="L17" s="591"/>
    </row>
    <row r="18" spans="1:12" ht="34.5" customHeight="1">
      <c r="A18" s="204"/>
      <c r="B18" s="476" t="s">
        <v>1539</v>
      </c>
      <c r="C18" s="456" t="s">
        <v>9</v>
      </c>
      <c r="D18" s="586">
        <f>IF(D15=1,D14/(380/3^0.5),(D14/(380*3^0.5)))*1000</f>
        <v>0</v>
      </c>
      <c r="E18" s="587"/>
      <c r="F18" s="444" t="s">
        <v>1453</v>
      </c>
      <c r="G18" s="449">
        <v>250</v>
      </c>
      <c r="I18" s="470" t="s">
        <v>1539</v>
      </c>
      <c r="J18" s="456" t="s">
        <v>9</v>
      </c>
      <c r="K18" s="590">
        <f>IF(K15=1,K14/(380/3^0.5),(K14/(380*3^0.5)))*1000</f>
        <v>0</v>
      </c>
      <c r="L18" s="591"/>
    </row>
    <row r="19" spans="1:12" ht="30" customHeight="1">
      <c r="A19" s="204"/>
      <c r="B19" s="477" t="s">
        <v>1531</v>
      </c>
      <c r="C19" s="455" t="s">
        <v>9</v>
      </c>
      <c r="D19" s="586">
        <f>IF(D15=1,D14/(380/3^0.5),(D14/(380*3^0.5)))</f>
        <v>0</v>
      </c>
      <c r="E19" s="587"/>
      <c r="F19" s="207"/>
      <c r="G19" s="440"/>
      <c r="I19" s="472" t="s">
        <v>1531</v>
      </c>
      <c r="J19" s="455" t="s">
        <v>9</v>
      </c>
      <c r="K19" s="590">
        <f>IF(K15=1,K14/(380/3^0.5),(K14/(380*3^0.5)))</f>
        <v>0</v>
      </c>
      <c r="L19" s="591"/>
    </row>
    <row r="20" spans="1:12" ht="30" customHeight="1" thickBot="1">
      <c r="A20" s="204"/>
      <c r="B20" s="478" t="s">
        <v>1540</v>
      </c>
      <c r="C20" s="474" t="s">
        <v>9</v>
      </c>
      <c r="D20" s="582" t="e">
        <f>D16/D18</f>
        <v>#DIV/0!</v>
      </c>
      <c r="E20" s="583"/>
      <c r="F20" s="207"/>
      <c r="G20" s="440"/>
      <c r="I20" s="473" t="s">
        <v>1531</v>
      </c>
      <c r="J20" s="474" t="s">
        <v>9</v>
      </c>
      <c r="K20" s="588" t="e">
        <f>K16/K18</f>
        <v>#DIV/0!</v>
      </c>
      <c r="L20" s="589"/>
    </row>
    <row r="21" spans="1:12" ht="9.75" customHeight="1">
      <c r="A21" s="204"/>
      <c r="B21" s="463" t="s">
        <v>1540</v>
      </c>
      <c r="C21" s="464" t="s">
        <v>9</v>
      </c>
      <c r="D21" s="567">
        <v>1</v>
      </c>
      <c r="E21" s="567"/>
      <c r="F21" s="465"/>
      <c r="G21" s="466"/>
      <c r="H21" s="467"/>
      <c r="I21" s="463" t="s">
        <v>1531</v>
      </c>
      <c r="J21" s="464" t="s">
        <v>9</v>
      </c>
      <c r="K21" s="567">
        <v>1</v>
      </c>
      <c r="L21" s="567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64"/>
      <c r="C24" s="565"/>
      <c r="D24" s="565"/>
      <c r="E24" s="566"/>
      <c r="I24" s="564"/>
      <c r="J24" s="565"/>
      <c r="K24" s="565"/>
      <c r="L24" s="566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11" zoomScaleNormal="100" workbookViewId="0">
      <selection activeCell="P15" sqref="P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1"/>
      <c r="C1" s="611"/>
      <c r="D1" s="61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1605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RAB!K100</f>
        <v>69376446.329999998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1387528.9265999999</v>
      </c>
    </row>
    <row r="12" spans="2:11" ht="9" customHeight="1">
      <c r="B12" s="612"/>
      <c r="C12" s="612"/>
      <c r="D12" s="612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1642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1628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3" t="s">
        <v>1357</v>
      </c>
      <c r="C3" s="613"/>
      <c r="D3" s="613"/>
      <c r="E3" s="613"/>
      <c r="F3" s="305" t="str">
        <f>DATA!D14</f>
        <v>IOH-14DMK0153-KARANGREJO-BONANG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4" t="s">
        <v>1349</v>
      </c>
      <c r="C5" s="614" t="s">
        <v>1358</v>
      </c>
      <c r="D5" s="615" t="s">
        <v>1359</v>
      </c>
      <c r="E5" s="615" t="s">
        <v>1360</v>
      </c>
      <c r="F5" s="614" t="s">
        <v>1361</v>
      </c>
      <c r="G5" s="614"/>
      <c r="H5" s="614"/>
      <c r="I5" s="614"/>
      <c r="J5" s="614"/>
      <c r="K5" s="614" t="s">
        <v>1362</v>
      </c>
      <c r="L5" s="614"/>
      <c r="M5" s="307"/>
      <c r="N5" s="618" t="s">
        <v>1363</v>
      </c>
      <c r="O5" s="615" t="s">
        <v>1364</v>
      </c>
      <c r="P5" s="615" t="s">
        <v>1365</v>
      </c>
      <c r="Q5" s="615" t="s">
        <v>1366</v>
      </c>
      <c r="R5" s="308"/>
      <c r="S5" s="309"/>
      <c r="T5" s="616" t="s">
        <v>1367</v>
      </c>
      <c r="U5" s="310"/>
    </row>
    <row r="6" spans="1:21" ht="20.100000000000001" customHeight="1">
      <c r="B6" s="614"/>
      <c r="C6" s="614"/>
      <c r="D6" s="614"/>
      <c r="E6" s="614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9"/>
      <c r="O6" s="614"/>
      <c r="P6" s="614"/>
      <c r="Q6" s="614"/>
      <c r="R6" s="308"/>
      <c r="S6" s="309"/>
      <c r="T6" s="614"/>
      <c r="U6" s="312"/>
    </row>
    <row r="7" spans="1:21" ht="20.100000000000001" customHeight="1">
      <c r="A7" s="313">
        <v>0</v>
      </c>
      <c r="B7" s="314">
        <v>2023</v>
      </c>
      <c r="C7" s="479">
        <f>DATA!D8*DATA!D26*1</f>
        <v>440</v>
      </c>
      <c r="D7" s="316">
        <f>C7*4/24</f>
        <v>73.333333333333329</v>
      </c>
      <c r="E7" s="316">
        <f>C7-D7</f>
        <v>366.66666666666669</v>
      </c>
      <c r="F7" s="317">
        <f ca="1">DATA!D10/1000000</f>
        <v>69.376446329999993</v>
      </c>
      <c r="G7" s="318">
        <f ca="1">DATA!$D$11/1000000</f>
        <v>1.3875289265999999</v>
      </c>
      <c r="H7" s="318">
        <f>C7*DATA!$D$5/1000000</f>
        <v>0.47701502019009701</v>
      </c>
      <c r="I7" s="318">
        <f>(C7*DATA!$D$5*DATA!$D$7)/1000000</f>
        <v>1.0732837954277182E-2</v>
      </c>
      <c r="J7" s="316">
        <f ca="1">SUM(F7:I7)</f>
        <v>71.251723114744365</v>
      </c>
      <c r="K7" s="319">
        <f>DATA!D9/1000000</f>
        <v>10.659000000000001</v>
      </c>
      <c r="L7" s="316">
        <f>((D7*DATA!$D$23)/1000000)+((E7*DATA!$D$24)/1000000)</f>
        <v>0.63566800000000001</v>
      </c>
      <c r="M7" s="316">
        <f>K7+L7</f>
        <v>11.294668000000001</v>
      </c>
      <c r="N7" s="316">
        <f ca="1">M7-J7</f>
        <v>-59.957055114744364</v>
      </c>
      <c r="O7" s="314">
        <v>1</v>
      </c>
      <c r="P7" s="316">
        <f ca="1">O7*N7</f>
        <v>-59.957055114744364</v>
      </c>
      <c r="Q7" s="316">
        <f ca="1">P7</f>
        <v>-59.957055114744364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1.3875289265999999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7.2405032243324898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0.38751277566750986</v>
      </c>
      <c r="O8" s="315">
        <f>1/(1+'[93]Asumsi I'!$C$3)^(KKF!A8)</f>
        <v>0.89285714285714279</v>
      </c>
      <c r="P8" s="316">
        <f ca="1">O8*N8</f>
        <v>0.34599354970313378</v>
      </c>
      <c r="Q8" s="316">
        <f ca="1">Q7+P8</f>
        <v>-59.611061565041233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1.3875289265999999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7.2405032243324898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0.38751277566750986</v>
      </c>
      <c r="O9" s="322">
        <f>1/(1+'[93]Asumsi I'!$C$3)^(KKF!A9)</f>
        <v>0.79719387755102034</v>
      </c>
      <c r="P9" s="316">
        <f t="shared" ref="P9:P32" ca="1" si="7">O9*N9</f>
        <v>0.30892281223494089</v>
      </c>
      <c r="Q9" s="316">
        <f ca="1">Q8+P9</f>
        <v>-59.302138752806293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1.3875289265999999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7.2405032243324898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0.38751277566750986</v>
      </c>
      <c r="O10" s="315">
        <f>1/(1+'[93]Asumsi I'!$C$3)^(KKF!A10)</f>
        <v>0.71178024781341087</v>
      </c>
      <c r="P10" s="316">
        <f t="shared" ca="1" si="7"/>
        <v>0.27582393949548284</v>
      </c>
      <c r="Q10" s="316">
        <f t="shared" ref="Q10:Q30" ca="1" si="9">Q9+P10</f>
        <v>-59.026314813310812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1.3875289265999999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7.2405032243324898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0.38751277566750986</v>
      </c>
      <c r="O11" s="315">
        <f>1/(1+'[93]Asumsi I'!$C$3)^(KKF!A11)</f>
        <v>0.63551807840483121</v>
      </c>
      <c r="P11" s="316">
        <f t="shared" ca="1" si="7"/>
        <v>0.24627137454953829</v>
      </c>
      <c r="Q11" s="316">
        <f t="shared" ca="1" si="9"/>
        <v>-58.780043438761275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1.3875289265999999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7.2405032243324898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0.38751277566750986</v>
      </c>
      <c r="O12" s="315">
        <f>1/(1+'[93]Asumsi I'!$C$3)^(KKF!A12)</f>
        <v>0.56742685571859919</v>
      </c>
      <c r="P12" s="316">
        <f t="shared" ca="1" si="7"/>
        <v>0.21988515584780202</v>
      </c>
      <c r="Q12" s="316">
        <f t="shared" ca="1" si="9"/>
        <v>-58.56015828291347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1.3875289265999999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7.2405032243324898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0.38751277566750986</v>
      </c>
      <c r="O13" s="315">
        <f>1/(1+'[93]Asumsi I'!$C$3)^(KKF!A13)</f>
        <v>0.50663112117732068</v>
      </c>
      <c r="P13" s="316">
        <f t="shared" ca="1" si="7"/>
        <v>0.19632603200696608</v>
      </c>
      <c r="Q13" s="316">
        <f t="shared" ca="1" si="9"/>
        <v>-58.363832250906505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1.3875289265999999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7.2405032243324898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0.38751277566750986</v>
      </c>
      <c r="O14" s="315">
        <f>1/(1+'[93]Asumsi I'!$C$3)^(KKF!A14)</f>
        <v>0.45234921533689343</v>
      </c>
      <c r="P14" s="316">
        <f t="shared" ca="1" si="7"/>
        <v>0.1752911000062197</v>
      </c>
      <c r="Q14" s="316">
        <f t="shared" ca="1" si="9"/>
        <v>-58.188541150900285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1.3875289265999999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7.2405032243324898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0.38751277566750986</v>
      </c>
      <c r="O15" s="315">
        <f>1/(1+'[93]Asumsi I'!$C$3)^(KKF!A15)</f>
        <v>0.4038832279793691</v>
      </c>
      <c r="P15" s="316">
        <f t="shared" ca="1" si="7"/>
        <v>0.156509910719839</v>
      </c>
      <c r="Q15" s="316">
        <f t="shared" ca="1" si="9"/>
        <v>-58.032031240180444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1.3875289265999999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7.2405032243324898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0.38751277566750986</v>
      </c>
      <c r="O16" s="315">
        <f>1/(1+'[93]Asumsi I'!$C$3)^(KKF!A16)</f>
        <v>0.36061002498157957</v>
      </c>
      <c r="P16" s="316">
        <f t="shared" ca="1" si="7"/>
        <v>0.13974099171414198</v>
      </c>
      <c r="Q16" s="316">
        <f t="shared" ca="1" si="9"/>
        <v>-57.892290248466303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1.3875289265999999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7.2405032243324898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0.38751277566750986</v>
      </c>
      <c r="O17" s="315">
        <f>1/(1+'[93]Asumsi I'!$C$3)^(KKF!A17)</f>
        <v>0.32197323659069599</v>
      </c>
      <c r="P17" s="316">
        <f t="shared" ca="1" si="7"/>
        <v>0.12476874260191245</v>
      </c>
      <c r="Q17" s="316">
        <f t="shared" ca="1" si="9"/>
        <v>-57.767521505864387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1.3875289265999999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7.2405032243324898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0.38751277566750986</v>
      </c>
      <c r="O18" s="315">
        <f>1/(1+'[93]Asumsi I'!$C$3)^(KKF!A18)</f>
        <v>0.28747610409883567</v>
      </c>
      <c r="P18" s="316">
        <f t="shared" ca="1" si="7"/>
        <v>0.11140066303742181</v>
      </c>
      <c r="Q18" s="316">
        <f t="shared" ca="1" si="9"/>
        <v>-57.656120842826965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1.3875289265999999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7.2405032243324898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0.38751277566750986</v>
      </c>
      <c r="O19" s="315">
        <f>1/(1+'[93]Asumsi I'!$C$3)^(KKF!A19)</f>
        <v>0.25667509294538904</v>
      </c>
      <c r="P19" s="316">
        <f t="shared" ca="1" si="7"/>
        <v>9.9464877711983785E-2</v>
      </c>
      <c r="Q19" s="316">
        <f t="shared" ca="1" si="9"/>
        <v>-57.556655965114984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1.3875289265999999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7.2405032243324898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0.38751277566750986</v>
      </c>
      <c r="O20" s="315">
        <f>1/(1+'[93]Asumsi I'!$C$3)^(KKF!A20)</f>
        <v>0.22917419012981158</v>
      </c>
      <c r="P20" s="316">
        <f t="shared" ca="1" si="7"/>
        <v>8.880792652855693E-2</v>
      </c>
      <c r="Q20" s="316">
        <f t="shared" ca="1" si="9"/>
        <v>-57.467848038586425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1.3875289265999999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7.2405032243324898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0.38751277566750986</v>
      </c>
      <c r="O21" s="315">
        <f>1/(1+'[93]Asumsi I'!$C$3)^(KKF!A21)</f>
        <v>0.20461981261590317</v>
      </c>
      <c r="P21" s="316">
        <f t="shared" ca="1" si="7"/>
        <v>7.9292791543354391E-2</v>
      </c>
      <c r="Q21" s="316">
        <f t="shared" ca="1" si="9"/>
        <v>-57.388555247043072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1.3875289265999999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7.2405032243324898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0.38751277566750986</v>
      </c>
      <c r="O22" s="315">
        <f>1/(1+'[93]Asumsi I'!$C$3)^(KKF!A22)</f>
        <v>0.18269626126419927</v>
      </c>
      <c r="P22" s="316">
        <f t="shared" ca="1" si="7"/>
        <v>7.0797135306566422E-2</v>
      </c>
      <c r="Q22" s="316">
        <f t="shared" ca="1" si="9"/>
        <v>-57.317758111736509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1.3875289265999999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7.2405032243324898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0.38751277566750986</v>
      </c>
      <c r="O23" s="315">
        <f>1/(1+'[93]Asumsi I'!$C$3)^(KKF!A23)</f>
        <v>0.16312166184303503</v>
      </c>
      <c r="P23" s="316">
        <f t="shared" ca="1" si="7"/>
        <v>6.3211727952291435E-2</v>
      </c>
      <c r="Q23" s="316">
        <f t="shared" ca="1" si="9"/>
        <v>-57.254546383784216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1.3875289265999999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7.2405032243324898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0.38751277566750986</v>
      </c>
      <c r="O24" s="315">
        <f>1/(1+'[93]Asumsi I'!$C$3)^(KKF!A24)</f>
        <v>0.14564434093128129</v>
      </c>
      <c r="P24" s="316">
        <f t="shared" ca="1" si="7"/>
        <v>5.6439042814545926E-2</v>
      </c>
      <c r="Q24" s="316">
        <f t="shared" ca="1" si="9"/>
        <v>-57.198107340969671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1.3875289265999999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7.2405032243324898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0.38751277566750986</v>
      </c>
      <c r="O25" s="315">
        <f>1/(1+'[93]Asumsi I'!$C$3)^(KKF!A25)</f>
        <v>0.13003959011721541</v>
      </c>
      <c r="P25" s="316">
        <f t="shared" ca="1" si="7"/>
        <v>5.0392002512987429E-2</v>
      </c>
      <c r="Q25" s="316">
        <f t="shared" ca="1" si="9"/>
        <v>-57.147715338456685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1.3875289265999999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7.2405032243324898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0.38751277566750986</v>
      </c>
      <c r="O26" s="315">
        <f>1/(1+'[93]Asumsi I'!$C$3)^(KKF!A26)</f>
        <v>0.1161067768903709</v>
      </c>
      <c r="P26" s="316">
        <f t="shared" ca="1" si="7"/>
        <v>4.4992859386595918E-2</v>
      </c>
      <c r="Q26" s="316">
        <f t="shared" ca="1" si="9"/>
        <v>-57.102722479070088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1.3875289265999999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7.2405032243324898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0.38751277566750986</v>
      </c>
      <c r="O27" s="315">
        <f>1/(1+'[93]Asumsi I'!$C$3)^(KKF!A27)</f>
        <v>0.1036667650806883</v>
      </c>
      <c r="P27" s="316">
        <f t="shared" ca="1" si="7"/>
        <v>4.017219588088921E-2</v>
      </c>
      <c r="Q27" s="316">
        <f t="shared" ca="1" si="9"/>
        <v>-57.062550283189196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1.3875289265999999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7.2405032243324898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0.38751277566750986</v>
      </c>
      <c r="O28" s="315">
        <f>1/(1+'[93]Asumsi I'!$C$3)^(KKF!A28)</f>
        <v>9.2559611679185971E-2</v>
      </c>
      <c r="P28" s="316">
        <f t="shared" ca="1" si="7"/>
        <v>3.5868032036508221E-2</v>
      </c>
      <c r="Q28" s="316">
        <f t="shared" ca="1" si="9"/>
        <v>-57.026682251152685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1.3875289265999999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7.2405032243324898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0.38751277566750986</v>
      </c>
      <c r="O29" s="315">
        <f>1/(1+'[93]Asumsi I'!$C$3)^(KKF!A29)</f>
        <v>8.2642510427844609E-2</v>
      </c>
      <c r="P29" s="316">
        <f t="shared" ca="1" si="7"/>
        <v>3.2025028604025195E-2</v>
      </c>
      <c r="Q29" s="316">
        <f t="shared" ca="1" si="9"/>
        <v>-56.994657222548661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1.3875289265999999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7.2405032243324898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0.38751277566750986</v>
      </c>
      <c r="O30" s="315">
        <f>1/(1+'[93]Asumsi I'!$C$3)^(KKF!A30)</f>
        <v>7.3787955739146982E-2</v>
      </c>
      <c r="P30" s="316">
        <f t="shared" ca="1" si="7"/>
        <v>2.8593775539308211E-2</v>
      </c>
      <c r="Q30" s="316">
        <f t="shared" ca="1" si="9"/>
        <v>-56.966063447009354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1.3875289265999999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7.2405032243324898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0.38751277566750986</v>
      </c>
      <c r="O31" s="315">
        <f>1/(1+'[93]Asumsi I'!$C$3)^(KKF!A31)</f>
        <v>6.5882103338524081E-2</v>
      </c>
      <c r="P31" s="316">
        <f t="shared" ca="1" si="7"/>
        <v>2.5530156731525186E-2</v>
      </c>
      <c r="Q31" s="316">
        <f ca="1">Q30+P31</f>
        <v>-56.940533290277827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1.3875289265999999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7.2405032243324898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0.38751277566750986</v>
      </c>
      <c r="O32" s="315">
        <f>1/(1+'[93]Asumsi I'!$C$3)^(KKF!A32)</f>
        <v>5.8823306552253637E-2</v>
      </c>
      <c r="P32" s="316">
        <f t="shared" ca="1" si="7"/>
        <v>2.2794782796004626E-2</v>
      </c>
      <c r="Q32" s="316">
        <f ca="1">Q31+P32</f>
        <v>-56.917738507481822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7" t="s">
        <v>1374</v>
      </c>
      <c r="G33" s="617"/>
      <c r="H33" s="617"/>
      <c r="I33" s="324"/>
      <c r="J33" s="325">
        <f ca="1">SUM(J7:J32)</f>
        <v>252.26430372305651</v>
      </c>
      <c r="K33" s="617" t="s">
        <v>1375</v>
      </c>
      <c r="L33" s="617"/>
      <c r="M33" s="325">
        <f>SUM(M7:M32)</f>
        <v>201.99506800000003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183.86935241556813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0.80072790727362053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-50.819409381680195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-0.10887417165116831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5"/>
  <sheetViews>
    <sheetView showGridLines="0" zoomScale="70" zoomScaleNormal="70" zoomScaleSheetLayoutView="70" workbookViewId="0">
      <pane ySplit="13" topLeftCell="A74" activePane="bottomLeft" state="frozen"/>
      <selection activeCell="H1093" sqref="H1093"/>
      <selection pane="bottomLeft" activeCell="I106" sqref="I106:K112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0" t="s">
        <v>1036</v>
      </c>
      <c r="P3" s="620"/>
      <c r="Q3" s="346"/>
      <c r="T3" s="344"/>
      <c r="U3" s="345" t="s">
        <v>1041</v>
      </c>
      <c r="V3" s="344"/>
    </row>
    <row r="4" spans="1:22" ht="15.75" customHeight="1">
      <c r="B4" s="621" t="s">
        <v>1023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7" t="str">
        <f>DATA!D14</f>
        <v>IOH-14DMK0153-KARANGREJO-BONANG</v>
      </c>
      <c r="H6" s="637"/>
      <c r="I6" s="637"/>
      <c r="J6" s="637"/>
      <c r="K6" s="637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3" t="s">
        <v>0</v>
      </c>
      <c r="C11" s="625" t="s">
        <v>1</v>
      </c>
      <c r="D11" s="628" t="s">
        <v>42</v>
      </c>
      <c r="E11" s="628" t="s">
        <v>43</v>
      </c>
      <c r="F11" s="628" t="s">
        <v>2</v>
      </c>
      <c r="G11" s="630" t="s">
        <v>41</v>
      </c>
      <c r="H11" s="628" t="s">
        <v>3</v>
      </c>
      <c r="I11" s="628"/>
      <c r="J11" s="628"/>
      <c r="K11" s="647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4"/>
      <c r="C12" s="626"/>
      <c r="D12" s="629"/>
      <c r="E12" s="629"/>
      <c r="F12" s="629"/>
      <c r="G12" s="631"/>
      <c r="H12" s="633" t="s">
        <v>46</v>
      </c>
      <c r="I12" s="633" t="s">
        <v>5</v>
      </c>
      <c r="J12" s="629" t="s">
        <v>47</v>
      </c>
      <c r="K12" s="648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4"/>
      <c r="C13" s="627"/>
      <c r="D13" s="629"/>
      <c r="E13" s="629"/>
      <c r="F13" s="629"/>
      <c r="G13" s="632"/>
      <c r="H13" s="634"/>
      <c r="I13" s="634"/>
      <c r="J13" s="629"/>
      <c r="K13" s="648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3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:H18" ca="1" si="8">IF(OR(D17="MDU",D17="MDU-KD"),(IF($O$3="RAB NON MDU","PLN KD",G17*F17)),0)</f>
        <v>0</v>
      </c>
      <c r="I17" s="361">
        <f t="shared" ref="I17:I18" ca="1" si="9">IF(D17="HDW",G17*F17,0)</f>
        <v>17400000</v>
      </c>
      <c r="J17" s="361">
        <f t="shared" ref="J17:J18" ca="1" si="10">IF(D17="JASA",G17*F17,0)</f>
        <v>0</v>
      </c>
      <c r="K17" s="362">
        <f t="shared" ref="K17:K18" ca="1" si="11">SUM(H17:J17)</f>
        <v>17400000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f>F17</f>
        <v>3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8"/>
        <v>0</v>
      </c>
      <c r="I18" s="361">
        <f t="shared" ca="1" si="9"/>
        <v>0</v>
      </c>
      <c r="J18" s="361">
        <f t="shared" ca="1" si="10"/>
        <v>30200.000000000004</v>
      </c>
      <c r="K18" s="362">
        <f t="shared" ca="1" si="11"/>
        <v>30200.000000000004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2">IF(OR(D19="MDU",D19="MDU-KD"),(IF($O$3="RAB NON MDU","PLN KD",G19*F19)),0)</f>
        <v>0</v>
      </c>
      <c r="I19" s="361">
        <f t="shared" ref="I19:I21" ca="1" si="13">IF(D19="HDW",G19*F19,0)</f>
        <v>200000</v>
      </c>
      <c r="J19" s="361">
        <f t="shared" ref="J19:J21" ca="1" si="14">IF(D19="JASA",G19*F19,0)</f>
        <v>0</v>
      </c>
      <c r="K19" s="362">
        <f t="shared" ref="K19:K21" ca="1" si="15">SUM(H19:J19)</f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1607</v>
      </c>
      <c r="C21" s="367" t="s">
        <v>1616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6" ca="1" si="16">IF(OR(D22="MDU",D22="MDU-KD"),(IF($O$3="RAB NON MDU","PLN KD",G22*F22)),0)</f>
        <v>0</v>
      </c>
      <c r="I22" s="361">
        <f t="shared" ref="I22:I36" ca="1" si="17">IF(D22="HDW",G22*F22,0)</f>
        <v>0</v>
      </c>
      <c r="J22" s="361">
        <f t="shared" ref="J22:J36" ca="1" si="18">IF(D22="JASA",G22*F22,0)</f>
        <v>0</v>
      </c>
      <c r="K22" s="362">
        <f t="shared" ref="K22:K36" ca="1" si="19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19" t="s">
        <v>1035</v>
      </c>
      <c r="C23" s="520" t="s">
        <v>1625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1">
        <v>3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6"/>
        <v>0</v>
      </c>
      <c r="I23" s="361">
        <f t="shared" ca="1" si="17"/>
        <v>0</v>
      </c>
      <c r="J23" s="361">
        <f t="shared" ca="1" si="18"/>
        <v>0</v>
      </c>
      <c r="K23" s="362">
        <f t="shared" ca="1" si="19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19">
        <v>1</v>
      </c>
      <c r="C24" s="520" t="s">
        <v>229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F23*1</f>
        <v>3</v>
      </c>
      <c r="G24" s="360">
        <f ca="1">IF(ISERROR(OFFSET('HARGA SATUAN'!$I$6,MATCH(RAB!C24,'HARGA SATUAN'!$C$7:$C$1492,0),0)),0,OFFSET('HARGA SATUAN'!$I$6,MATCH(RAB!C24,'HARGA SATUAN'!$C$7:$C$1492,0),0))</f>
        <v>4212</v>
      </c>
      <c r="H24" s="361">
        <f t="shared" ca="1" si="16"/>
        <v>0</v>
      </c>
      <c r="I24" s="361">
        <f t="shared" ca="1" si="17"/>
        <v>12636</v>
      </c>
      <c r="J24" s="361">
        <f t="shared" ca="1" si="18"/>
        <v>0</v>
      </c>
      <c r="K24" s="362">
        <f t="shared" ca="1" si="19"/>
        <v>12636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19">
        <v>2</v>
      </c>
      <c r="C25" s="520" t="s">
        <v>266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1">
        <f>F23*1</f>
        <v>3</v>
      </c>
      <c r="G25" s="360">
        <f ca="1">IF(ISERROR(OFFSET('HARGA SATUAN'!$I$6,MATCH(RAB!C25,'HARGA SATUAN'!$C$7:$C$1492,0),0)),0,OFFSET('HARGA SATUAN'!$I$6,MATCH(RAB!C25,'HARGA SATUAN'!$C$7:$C$1492,0),0))</f>
        <v>23310</v>
      </c>
      <c r="H25" s="361">
        <f t="shared" ca="1" si="16"/>
        <v>0</v>
      </c>
      <c r="I25" s="361">
        <f t="shared" ca="1" si="17"/>
        <v>69930</v>
      </c>
      <c r="J25" s="361">
        <f t="shared" ca="1" si="18"/>
        <v>0</v>
      </c>
      <c r="K25" s="362">
        <f t="shared" ca="1" si="19"/>
        <v>69930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19">
        <v>3</v>
      </c>
      <c r="C26" s="520" t="s">
        <v>35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F23*1</f>
        <v>3</v>
      </c>
      <c r="G26" s="360">
        <f ca="1">IF(ISERROR(OFFSET('HARGA SATUAN'!$I$6,MATCH(RAB!C26,'HARGA SATUAN'!$C$7:$C$1492,0),0)),0,OFFSET('HARGA SATUAN'!$I$6,MATCH(RAB!C26,'HARGA SATUAN'!$C$7:$C$1492,0),0))</f>
        <v>2300</v>
      </c>
      <c r="H26" s="361">
        <f t="shared" ca="1" si="16"/>
        <v>0</v>
      </c>
      <c r="I26" s="361">
        <f t="shared" ca="1" si="17"/>
        <v>6900</v>
      </c>
      <c r="J26" s="361">
        <f t="shared" ca="1" si="18"/>
        <v>0</v>
      </c>
      <c r="K26" s="362">
        <f t="shared" ca="1" si="19"/>
        <v>6900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19">
        <v>4</v>
      </c>
      <c r="C27" s="520" t="s">
        <v>609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F23*1</f>
        <v>3</v>
      </c>
      <c r="G27" s="360">
        <f ca="1">IF(ISERROR(OFFSET('HARGA SATUAN'!$I$6,MATCH(RAB!C27,'HARGA SATUAN'!$C$7:$C$1492,0),0)),0,OFFSET('HARGA SATUAN'!$I$6,MATCH(RAB!C27,'HARGA SATUAN'!$C$7:$C$1492,0),0))</f>
        <v>71000</v>
      </c>
      <c r="H27" s="361">
        <f t="shared" ca="1" si="16"/>
        <v>0</v>
      </c>
      <c r="I27" s="361">
        <f t="shared" ca="1" si="17"/>
        <v>213000</v>
      </c>
      <c r="J27" s="361">
        <f t="shared" ca="1" si="18"/>
        <v>0</v>
      </c>
      <c r="K27" s="362">
        <f t="shared" ca="1" si="19"/>
        <v>213000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9">
        <v>5</v>
      </c>
      <c r="C28" s="520" t="s">
        <v>629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f>F23*1</f>
        <v>3</v>
      </c>
      <c r="G28" s="360">
        <f ca="1">IF(ISERROR(OFFSET('HARGA SATUAN'!$I$6,MATCH(RAB!C28,'HARGA SATUAN'!$C$7:$C$1492,0),0)),0,OFFSET('HARGA SATUAN'!$I$6,MATCH(RAB!C28,'HARGA SATUAN'!$C$7:$C$1492,0),0))</f>
        <v>29400</v>
      </c>
      <c r="H28" s="361">
        <f t="shared" ca="1" si="16"/>
        <v>0</v>
      </c>
      <c r="I28" s="361">
        <f t="shared" ca="1" si="17"/>
        <v>0</v>
      </c>
      <c r="J28" s="361">
        <f t="shared" ca="1" si="18"/>
        <v>88200</v>
      </c>
      <c r="K28" s="362">
        <f t="shared" ca="1" si="19"/>
        <v>88200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19"/>
      <c r="C29" s="520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16"/>
        <v>0</v>
      </c>
      <c r="I29" s="361">
        <f t="shared" ca="1" si="17"/>
        <v>0</v>
      </c>
      <c r="J29" s="361">
        <f t="shared" ca="1" si="18"/>
        <v>0</v>
      </c>
      <c r="K29" s="362">
        <f t="shared" ca="1" si="19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9" t="s">
        <v>1035</v>
      </c>
      <c r="C30" s="520" t="s">
        <v>1617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1">
        <v>2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6"/>
        <v>0</v>
      </c>
      <c r="I30" s="361">
        <f t="shared" ca="1" si="17"/>
        <v>0</v>
      </c>
      <c r="J30" s="361">
        <f t="shared" ca="1" si="18"/>
        <v>0</v>
      </c>
      <c r="K30" s="362">
        <f t="shared" ca="1" si="19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9">
        <v>1</v>
      </c>
      <c r="C31" s="520" t="s">
        <v>595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F30*1</f>
        <v>2</v>
      </c>
      <c r="G31" s="360">
        <f ca="1">IF(ISERROR(OFFSET('HARGA SATUAN'!$I$6,MATCH(RAB!C31,'HARGA SATUAN'!$C$7:$C$1492,0),0)),0,OFFSET('HARGA SATUAN'!$I$6,MATCH(RAB!C31,'HARGA SATUAN'!$C$7:$C$1492,0),0))</f>
        <v>78500</v>
      </c>
      <c r="H31" s="361">
        <f t="shared" ca="1" si="16"/>
        <v>0</v>
      </c>
      <c r="I31" s="361">
        <f t="shared" ca="1" si="17"/>
        <v>157000</v>
      </c>
      <c r="J31" s="361">
        <f t="shared" ca="1" si="18"/>
        <v>0</v>
      </c>
      <c r="K31" s="362">
        <f t="shared" ca="1" si="19"/>
        <v>157000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9">
        <v>2</v>
      </c>
      <c r="C32" s="520" t="s">
        <v>229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F30*1</f>
        <v>2</v>
      </c>
      <c r="G32" s="360">
        <f ca="1">IF(ISERROR(OFFSET('HARGA SATUAN'!$I$6,MATCH(RAB!C32,'HARGA SATUAN'!$C$7:$C$1492,0),0)),0,OFFSET('HARGA SATUAN'!$I$6,MATCH(RAB!C32,'HARGA SATUAN'!$C$7:$C$1492,0),0))</f>
        <v>4212</v>
      </c>
      <c r="H32" s="361">
        <f t="shared" ca="1" si="16"/>
        <v>0</v>
      </c>
      <c r="I32" s="361">
        <f t="shared" ca="1" si="17"/>
        <v>8424</v>
      </c>
      <c r="J32" s="361">
        <f t="shared" ca="1" si="18"/>
        <v>0</v>
      </c>
      <c r="K32" s="362">
        <f t="shared" ca="1" si="19"/>
        <v>8424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9">
        <v>3</v>
      </c>
      <c r="C33" s="520" t="s">
        <v>266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Mtr</v>
      </c>
      <c r="F33" s="501">
        <f>F30*1</f>
        <v>2</v>
      </c>
      <c r="G33" s="360">
        <f ca="1">IF(ISERROR(OFFSET('HARGA SATUAN'!$I$6,MATCH(RAB!C33,'HARGA SATUAN'!$C$7:$C$1492,0),0)),0,OFFSET('HARGA SATUAN'!$I$6,MATCH(RAB!C33,'HARGA SATUAN'!$C$7:$C$1492,0),0))</f>
        <v>23310</v>
      </c>
      <c r="H33" s="361">
        <f t="shared" ca="1" si="16"/>
        <v>0</v>
      </c>
      <c r="I33" s="361">
        <f t="shared" ca="1" si="17"/>
        <v>46620</v>
      </c>
      <c r="J33" s="361">
        <f t="shared" ca="1" si="18"/>
        <v>0</v>
      </c>
      <c r="K33" s="362">
        <f t="shared" ca="1" si="19"/>
        <v>46620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9">
        <v>4</v>
      </c>
      <c r="C34" s="520" t="s">
        <v>35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F30*1</f>
        <v>2</v>
      </c>
      <c r="G34" s="360">
        <f ca="1">IF(ISERROR(OFFSET('HARGA SATUAN'!$I$6,MATCH(RAB!C34,'HARGA SATUAN'!$C$7:$C$1492,0),0)),0,OFFSET('HARGA SATUAN'!$I$6,MATCH(RAB!C34,'HARGA SATUAN'!$C$7:$C$1492,0),0))</f>
        <v>2300</v>
      </c>
      <c r="H34" s="361">
        <f t="shared" ca="1" si="16"/>
        <v>0</v>
      </c>
      <c r="I34" s="361">
        <f t="shared" ca="1" si="17"/>
        <v>4600</v>
      </c>
      <c r="J34" s="361">
        <f t="shared" ca="1" si="18"/>
        <v>0</v>
      </c>
      <c r="K34" s="362">
        <f t="shared" ca="1" si="19"/>
        <v>4600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9">
        <v>5</v>
      </c>
      <c r="C35" s="520" t="s">
        <v>630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f>F30*1</f>
        <v>2</v>
      </c>
      <c r="G35" s="360">
        <f ca="1">IF(ISERROR(OFFSET('HARGA SATUAN'!$I$6,MATCH(RAB!C35,'HARGA SATUAN'!$C$7:$C$1492,0),0)),0,OFFSET('HARGA SATUAN'!$I$6,MATCH(RAB!C35,'HARGA SATUAN'!$C$7:$C$1492,0),0))</f>
        <v>35700</v>
      </c>
      <c r="H35" s="361">
        <f t="shared" ca="1" si="16"/>
        <v>0</v>
      </c>
      <c r="I35" s="361">
        <f t="shared" ca="1" si="17"/>
        <v>0</v>
      </c>
      <c r="J35" s="361">
        <f t="shared" ca="1" si="18"/>
        <v>71400</v>
      </c>
      <c r="K35" s="362">
        <f t="shared" ca="1" si="19"/>
        <v>71400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9"/>
      <c r="C36" s="520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1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16"/>
        <v>0</v>
      </c>
      <c r="I36" s="361">
        <f t="shared" ca="1" si="17"/>
        <v>0</v>
      </c>
      <c r="J36" s="361">
        <f t="shared" ca="1" si="18"/>
        <v>0</v>
      </c>
      <c r="K36" s="362">
        <f t="shared" ca="1" si="19"/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498"/>
      <c r="C37" s="514" t="s">
        <v>1618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1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" ca="1" si="20">IF(OR(D37="MDU",D37="MDU-KD"),(IF($O$3="RAB NON MDU","PLN KD",G37*F37)),0)</f>
        <v>0</v>
      </c>
      <c r="I37" s="361">
        <f t="shared" ref="I37" ca="1" si="21">IF(D37="HDW",G37*F37,0)</f>
        <v>0</v>
      </c>
      <c r="J37" s="361">
        <f t="shared" ref="J37" ca="1" si="22">IF(D37="JASA",G37*F37,0)</f>
        <v>0</v>
      </c>
      <c r="K37" s="362">
        <f t="shared" ref="K37" ca="1" si="23">SUM(H37:J37)</f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498">
        <v>1</v>
      </c>
      <c r="C38" s="109" t="s">
        <v>1402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501">
        <v>175</v>
      </c>
      <c r="G38" s="360">
        <f ca="1">IF(ISERROR(OFFSET('HARGA SATUAN'!$I$6,MATCH(RAB!C38,'HARGA SATUAN'!$C$7:$C$1492,0),0)),0,OFFSET('HARGA SATUAN'!$I$6,MATCH(RAB!C38,'HARGA SATUAN'!$C$7:$C$1492,0),0))</f>
        <v>53300</v>
      </c>
      <c r="H38" s="361">
        <f t="shared" ref="H38:H39" ca="1" si="24">IF(OR(D38="MDU",D38="MDU-KD"),(IF($O$3="RAB NON MDU","PLN KD",G38*F38)),0)</f>
        <v>9327500</v>
      </c>
      <c r="I38" s="361">
        <f t="shared" ref="I38:I39" ca="1" si="25">IF(D38="HDW",G38*F38,0)</f>
        <v>0</v>
      </c>
      <c r="J38" s="361">
        <f t="shared" ref="J38:J39" ca="1" si="26">IF(D38="JASA",G38*F38,0)</f>
        <v>0</v>
      </c>
      <c r="K38" s="362">
        <f t="shared" ref="K38:K39" ca="1" si="27">SUM(H38:J38)</f>
        <v>9327500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498">
        <v>2</v>
      </c>
      <c r="C39" s="109" t="s">
        <v>347</v>
      </c>
      <c r="D39" s="511" t="s">
        <v>47</v>
      </c>
      <c r="E39" s="512" t="s">
        <v>297</v>
      </c>
      <c r="F39" s="512">
        <f>F38/50</f>
        <v>3.5</v>
      </c>
      <c r="G39" s="513">
        <v>85000</v>
      </c>
      <c r="H39" s="361">
        <f t="shared" si="24"/>
        <v>0</v>
      </c>
      <c r="I39" s="361">
        <f t="shared" si="25"/>
        <v>0</v>
      </c>
      <c r="J39" s="361">
        <f t="shared" si="26"/>
        <v>297500</v>
      </c>
      <c r="K39" s="362">
        <f t="shared" si="27"/>
        <v>297500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498"/>
      <c r="C40" s="499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501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:H42" ca="1" si="28">IF(OR(D40="MDU",D40="MDU-KD"),(IF($O$3="RAB NON MDU","PLN KD",G40*F40)),0)</f>
        <v>0</v>
      </c>
      <c r="I40" s="361">
        <f t="shared" ref="I40:I42" ca="1" si="29">IF(D40="HDW",G40*F40,0)</f>
        <v>0</v>
      </c>
      <c r="J40" s="361">
        <f t="shared" ref="J40:J42" ca="1" si="30">IF(D40="JASA",G40*F40,0)</f>
        <v>0</v>
      </c>
      <c r="K40" s="362">
        <f t="shared" ref="K40:K42" ca="1" si="31">SUM(H40:J40)</f>
        <v>0</v>
      </c>
      <c r="L40" s="342"/>
      <c r="M40" s="342"/>
      <c r="N40" s="369"/>
      <c r="O40" s="344"/>
      <c r="P40" s="397"/>
      <c r="Q40" s="344"/>
    </row>
    <row r="41" spans="1:17">
      <c r="B41" s="366" t="s">
        <v>1608</v>
      </c>
      <c r="C41" s="367" t="s">
        <v>1610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501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28"/>
        <v>0</v>
      </c>
      <c r="I41" s="361">
        <f t="shared" ca="1" si="29"/>
        <v>0</v>
      </c>
      <c r="J41" s="361">
        <f t="shared" ca="1" si="30"/>
        <v>0</v>
      </c>
      <c r="K41" s="362">
        <f t="shared" ca="1" si="31"/>
        <v>0</v>
      </c>
    </row>
    <row r="42" spans="1:17">
      <c r="B42" s="494"/>
      <c r="C42" s="497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501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8"/>
        <v>0</v>
      </c>
      <c r="I42" s="361">
        <f t="shared" ca="1" si="29"/>
        <v>0</v>
      </c>
      <c r="J42" s="361">
        <f t="shared" ca="1" si="30"/>
        <v>0</v>
      </c>
      <c r="K42" s="362">
        <f t="shared" ca="1" si="31"/>
        <v>0</v>
      </c>
    </row>
    <row r="43" spans="1:17">
      <c r="B43" s="515" t="s">
        <v>1035</v>
      </c>
      <c r="C43" s="516" t="s">
        <v>1624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02">
        <v>1</v>
      </c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ref="H43:H49" ca="1" si="32">IF(OR(D43="MDU",D43="MDU-KD"),(IF($O$3="RAB NON MDU","PLN KD",G43*F43)),0)</f>
        <v>0</v>
      </c>
      <c r="I43" s="361">
        <f t="shared" ref="I43:I49" ca="1" si="33">IF(D43="HDW",G43*F43,0)</f>
        <v>0</v>
      </c>
      <c r="J43" s="361">
        <f t="shared" ref="J43:J49" ca="1" si="34">IF(D43="JASA",G43*F43,0)</f>
        <v>0</v>
      </c>
      <c r="K43" s="362">
        <f t="shared" ref="K43:K49" ca="1" si="35">SUM(H43:J43)</f>
        <v>0</v>
      </c>
    </row>
    <row r="44" spans="1:17">
      <c r="B44" s="515">
        <v>1</v>
      </c>
      <c r="C44" s="516" t="s">
        <v>535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2">
        <f>F43*1</f>
        <v>1</v>
      </c>
      <c r="G44" s="360">
        <f ca="1">IF(ISERROR(OFFSET('HARGA SATUAN'!$I$6,MATCH(RAB!C44,'HARGA SATUAN'!$C$7:$C$1492,0),0)),0,OFFSET('HARGA SATUAN'!$I$6,MATCH(RAB!C44,'HARGA SATUAN'!$C$7:$C$1492,0),0))</f>
        <v>848250</v>
      </c>
      <c r="H44" s="361">
        <f t="shared" ca="1" si="32"/>
        <v>848250</v>
      </c>
      <c r="I44" s="361">
        <f t="shared" ca="1" si="33"/>
        <v>0</v>
      </c>
      <c r="J44" s="361">
        <f t="shared" ca="1" si="34"/>
        <v>0</v>
      </c>
      <c r="K44" s="362">
        <f t="shared" ca="1" si="35"/>
        <v>848250</v>
      </c>
    </row>
    <row r="45" spans="1:17">
      <c r="B45" s="515">
        <v>2</v>
      </c>
      <c r="C45" s="109" t="s">
        <v>62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2">
        <f>F43*1</f>
        <v>1</v>
      </c>
      <c r="G45" s="360">
        <f ca="1">IF(ISERROR(OFFSET('HARGA SATUAN'!$I$6,MATCH(RAB!C45,'HARGA SATUAN'!$C$7:$C$1492,0),0)),0,OFFSET('HARGA SATUAN'!$I$6,MATCH(RAB!C45,'HARGA SATUAN'!$C$7:$C$1492,0),0))</f>
        <v>32500</v>
      </c>
      <c r="H45" s="361">
        <f t="shared" ca="1" si="32"/>
        <v>0</v>
      </c>
      <c r="I45" s="361">
        <f t="shared" ca="1" si="33"/>
        <v>32500</v>
      </c>
      <c r="J45" s="361">
        <f t="shared" ca="1" si="34"/>
        <v>0</v>
      </c>
      <c r="K45" s="362">
        <f t="shared" ca="1" si="35"/>
        <v>32500</v>
      </c>
    </row>
    <row r="46" spans="1:17">
      <c r="B46" s="515">
        <v>3</v>
      </c>
      <c r="C46" s="516" t="s">
        <v>187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2">
        <f>F43*1</f>
        <v>1</v>
      </c>
      <c r="G46" s="360">
        <f ca="1">IF(ISERROR(OFFSET('HARGA SATUAN'!$I$6,MATCH(RAB!C46,'HARGA SATUAN'!$C$7:$C$1492,0),0)),0,OFFSET('HARGA SATUAN'!$I$6,MATCH(RAB!C46,'HARGA SATUAN'!$C$7:$C$1492,0),0))</f>
        <v>17100</v>
      </c>
      <c r="H46" s="361">
        <f t="shared" ca="1" si="32"/>
        <v>0</v>
      </c>
      <c r="I46" s="361">
        <f t="shared" ca="1" si="33"/>
        <v>17100</v>
      </c>
      <c r="J46" s="361">
        <f t="shared" ca="1" si="34"/>
        <v>0</v>
      </c>
      <c r="K46" s="362">
        <f t="shared" ca="1" si="35"/>
        <v>17100</v>
      </c>
    </row>
    <row r="47" spans="1:17">
      <c r="B47" s="515">
        <v>4</v>
      </c>
      <c r="C47" s="109" t="s">
        <v>174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2">
        <f>F43*1</f>
        <v>1</v>
      </c>
      <c r="G47" s="360">
        <f ca="1">IF(ISERROR(OFFSET('HARGA SATUAN'!$I$6,MATCH(RAB!C47,'HARGA SATUAN'!$C$7:$C$1492,0),0)),0,OFFSET('HARGA SATUAN'!$I$6,MATCH(RAB!C47,'HARGA SATUAN'!$C$7:$C$1492,0),0))</f>
        <v>67700</v>
      </c>
      <c r="H47" s="361">
        <f t="shared" ca="1" si="32"/>
        <v>0</v>
      </c>
      <c r="I47" s="361">
        <f t="shared" ca="1" si="33"/>
        <v>67700</v>
      </c>
      <c r="J47" s="361">
        <f t="shared" ca="1" si="34"/>
        <v>0</v>
      </c>
      <c r="K47" s="362">
        <f t="shared" ca="1" si="35"/>
        <v>67700</v>
      </c>
    </row>
    <row r="48" spans="1:17">
      <c r="B48" s="515">
        <v>5</v>
      </c>
      <c r="C48" s="516" t="s">
        <v>747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2">
        <f>F43*1</f>
        <v>1</v>
      </c>
      <c r="G48" s="360">
        <f ca="1">IF(ISERROR(OFFSET('HARGA SATUAN'!$I$6,MATCH(RAB!C48,'HARGA SATUAN'!$C$7:$C$1492,0),0)),0,OFFSET('HARGA SATUAN'!$I$6,MATCH(RAB!C48,'HARGA SATUAN'!$C$7:$C$1492,0),0))</f>
        <v>58400</v>
      </c>
      <c r="H48" s="361">
        <f t="shared" ca="1" si="32"/>
        <v>0</v>
      </c>
      <c r="I48" s="361">
        <f t="shared" ca="1" si="33"/>
        <v>0</v>
      </c>
      <c r="J48" s="361">
        <f t="shared" ca="1" si="34"/>
        <v>58400</v>
      </c>
      <c r="K48" s="362">
        <f t="shared" ca="1" si="35"/>
        <v>58400</v>
      </c>
    </row>
    <row r="49" spans="2:11">
      <c r="B49" s="494"/>
      <c r="C49" s="497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501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32"/>
        <v>0</v>
      </c>
      <c r="I49" s="361">
        <f t="shared" ca="1" si="33"/>
        <v>0</v>
      </c>
      <c r="J49" s="361">
        <f t="shared" ca="1" si="34"/>
        <v>0</v>
      </c>
      <c r="K49" s="362">
        <f t="shared" ca="1" si="35"/>
        <v>0</v>
      </c>
    </row>
    <row r="50" spans="2:11">
      <c r="B50" s="515" t="s">
        <v>1035</v>
      </c>
      <c r="C50" s="516" t="s">
        <v>1619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23">
        <v>1</v>
      </c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:H62" ca="1" si="36">IF(OR(D50="MDU",D50="MDU-KD"),(IF($O$3="RAB NON MDU","PLN KD",G50*F50)),0)</f>
        <v>0</v>
      </c>
      <c r="I50" s="361">
        <f t="shared" ref="I50:I62" ca="1" si="37">IF(D50="HDW",G50*F50,0)</f>
        <v>0</v>
      </c>
      <c r="J50" s="361">
        <f t="shared" ref="J50:J62" ca="1" si="38">IF(D50="JASA",G50*F50,0)</f>
        <v>0</v>
      </c>
      <c r="K50" s="362">
        <f t="shared" ref="K50:K62" ca="1" si="39">SUM(H50:J50)</f>
        <v>0</v>
      </c>
    </row>
    <row r="51" spans="2:11">
      <c r="B51" s="515">
        <v>1</v>
      </c>
      <c r="C51" s="506" t="s">
        <v>532</v>
      </c>
      <c r="D51" s="358" t="str">
        <f ca="1">IF(ISERROR(OFFSET('HARGA SATUAN'!$D$6,MATCH(RAB!C51,'HARGA SATUAN'!$C$7:$C$1492,0),0)),"",OFFSET('HARGA SATUAN'!$D$6,MATCH(RAB!C51,'HARGA SATUAN'!$C$7:$C$1492,0),0))</f>
        <v>MDU-KD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7">
        <f>F50*1</f>
        <v>1</v>
      </c>
      <c r="G51" s="360">
        <f ca="1">IF(ISERROR(OFFSET('HARGA SATUAN'!$I$6,MATCH(RAB!C51,'HARGA SATUAN'!$C$7:$C$1492,0),0)),0,OFFSET('HARGA SATUAN'!$I$6,MATCH(RAB!C51,'HARGA SATUAN'!$C$7:$C$1492,0),0))</f>
        <v>27845400</v>
      </c>
      <c r="H51" s="361">
        <f t="shared" ca="1" si="36"/>
        <v>27845400</v>
      </c>
      <c r="I51" s="361">
        <f t="shared" ca="1" si="37"/>
        <v>0</v>
      </c>
      <c r="J51" s="361">
        <f t="shared" ca="1" si="38"/>
        <v>0</v>
      </c>
      <c r="K51" s="362">
        <f t="shared" ca="1" si="39"/>
        <v>27845400</v>
      </c>
    </row>
    <row r="52" spans="2:11">
      <c r="B52" s="503">
        <v>2</v>
      </c>
      <c r="C52" s="506" t="s">
        <v>1612</v>
      </c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507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36"/>
        <v>0</v>
      </c>
      <c r="I52" s="361">
        <f t="shared" ca="1" si="37"/>
        <v>0</v>
      </c>
      <c r="J52" s="361">
        <f t="shared" ca="1" si="38"/>
        <v>0</v>
      </c>
      <c r="K52" s="362">
        <f t="shared" ca="1" si="39"/>
        <v>0</v>
      </c>
    </row>
    <row r="53" spans="2:11">
      <c r="B53" s="503"/>
      <c r="C53" s="506" t="s">
        <v>65</v>
      </c>
      <c r="D53" s="358" t="str">
        <f ca="1">IF(ISERROR(OFFSET('HARGA SATUAN'!$D$6,MATCH(RAB!C53,'HARGA SATUAN'!$C$7:$C$1492,0),0)),"",OFFSET('HARGA SATUAN'!$D$6,MATCH(RAB!C53,'HARGA SATUAN'!$C$7:$C$1492,0),0))</f>
        <v>MDU-KD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507">
        <f>F50*2</f>
        <v>2</v>
      </c>
      <c r="G53" s="360">
        <f ca="1">IF(ISERROR(OFFSET('HARGA SATUAN'!$I$6,MATCH(RAB!C53,'HARGA SATUAN'!$C$7:$C$1492,0),0)),0,OFFSET('HARGA SATUAN'!$I$6,MATCH(RAB!C53,'HARGA SATUAN'!$C$7:$C$1492,0),0))</f>
        <v>14200</v>
      </c>
      <c r="H53" s="361">
        <f t="shared" ca="1" si="36"/>
        <v>28400</v>
      </c>
      <c r="I53" s="361">
        <f t="shared" ca="1" si="37"/>
        <v>0</v>
      </c>
      <c r="J53" s="361">
        <f t="shared" ca="1" si="38"/>
        <v>0</v>
      </c>
      <c r="K53" s="362">
        <f t="shared" ca="1" si="39"/>
        <v>28400</v>
      </c>
    </row>
    <row r="54" spans="2:11">
      <c r="B54" s="515"/>
      <c r="C54" s="506" t="s">
        <v>1620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507">
        <f>F50*2</f>
        <v>2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36"/>
        <v>0</v>
      </c>
      <c r="I54" s="361">
        <f t="shared" ca="1" si="37"/>
        <v>0</v>
      </c>
      <c r="J54" s="361">
        <f t="shared" ca="1" si="38"/>
        <v>0</v>
      </c>
      <c r="K54" s="362">
        <f t="shared" ca="1" si="39"/>
        <v>0</v>
      </c>
    </row>
    <row r="55" spans="2:11">
      <c r="B55" s="515">
        <v>3</v>
      </c>
      <c r="C55" s="506" t="s">
        <v>207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7">
        <f>F50*1</f>
        <v>1</v>
      </c>
      <c r="G55" s="360">
        <f ca="1">IF(ISERROR(OFFSET('HARGA SATUAN'!$I$6,MATCH(RAB!C55,'HARGA SATUAN'!$C$7:$C$1492,0),0)),0,OFFSET('HARGA SATUAN'!$I$6,MATCH(RAB!C55,'HARGA SATUAN'!$C$7:$C$1492,0),0))</f>
        <v>87000</v>
      </c>
      <c r="H55" s="361">
        <f t="shared" ca="1" si="36"/>
        <v>0</v>
      </c>
      <c r="I55" s="361">
        <f t="shared" ca="1" si="37"/>
        <v>87000</v>
      </c>
      <c r="J55" s="361">
        <f t="shared" ca="1" si="38"/>
        <v>0</v>
      </c>
      <c r="K55" s="362">
        <f t="shared" ca="1" si="39"/>
        <v>87000</v>
      </c>
    </row>
    <row r="56" spans="2:11">
      <c r="B56" s="515">
        <v>4</v>
      </c>
      <c r="C56" s="506" t="s">
        <v>176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7">
        <f>F50*2</f>
        <v>2</v>
      </c>
      <c r="G56" s="360">
        <f ca="1">IF(ISERROR(OFFSET('HARGA SATUAN'!$I$6,MATCH(RAB!C56,'HARGA SATUAN'!$C$7:$C$1492,0),0)),0,OFFSET('HARGA SATUAN'!$I$6,MATCH(RAB!C56,'HARGA SATUAN'!$C$7:$C$1492,0),0))</f>
        <v>404600</v>
      </c>
      <c r="H56" s="361">
        <f t="shared" ca="1" si="36"/>
        <v>0</v>
      </c>
      <c r="I56" s="361">
        <f t="shared" ca="1" si="37"/>
        <v>809200</v>
      </c>
      <c r="J56" s="361">
        <f t="shared" ca="1" si="38"/>
        <v>0</v>
      </c>
      <c r="K56" s="362">
        <f t="shared" ca="1" si="39"/>
        <v>809200</v>
      </c>
    </row>
    <row r="57" spans="2:11">
      <c r="B57" s="515">
        <v>5</v>
      </c>
      <c r="C57" s="506" t="s">
        <v>184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7">
        <f>F50*3</f>
        <v>3</v>
      </c>
      <c r="G57" s="360">
        <f ca="1">IF(ISERROR(OFFSET('HARGA SATUAN'!$I$6,MATCH(RAB!C57,'HARGA SATUAN'!$C$7:$C$1492,0),0)),0,OFFSET('HARGA SATUAN'!$I$6,MATCH(RAB!C57,'HARGA SATUAN'!$C$7:$C$1492,0),0))</f>
        <v>15900</v>
      </c>
      <c r="H57" s="361">
        <f t="shared" ca="1" si="36"/>
        <v>0</v>
      </c>
      <c r="I57" s="361">
        <f t="shared" ca="1" si="37"/>
        <v>47700</v>
      </c>
      <c r="J57" s="361">
        <f t="shared" ca="1" si="38"/>
        <v>0</v>
      </c>
      <c r="K57" s="362">
        <f t="shared" ca="1" si="39"/>
        <v>47700</v>
      </c>
    </row>
    <row r="58" spans="2:11">
      <c r="B58" s="515">
        <v>6</v>
      </c>
      <c r="C58" s="506" t="s">
        <v>187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7">
        <f>F50*2</f>
        <v>2</v>
      </c>
      <c r="G58" s="360">
        <f ca="1">IF(ISERROR(OFFSET('HARGA SATUAN'!$I$6,MATCH(RAB!C58,'HARGA SATUAN'!$C$7:$C$1492,0),0)),0,OFFSET('HARGA SATUAN'!$I$6,MATCH(RAB!C58,'HARGA SATUAN'!$C$7:$C$1492,0),0))</f>
        <v>17100</v>
      </c>
      <c r="H58" s="361">
        <f t="shared" ca="1" si="36"/>
        <v>0</v>
      </c>
      <c r="I58" s="361">
        <f t="shared" ca="1" si="37"/>
        <v>34200</v>
      </c>
      <c r="J58" s="361">
        <f t="shared" ca="1" si="38"/>
        <v>0</v>
      </c>
      <c r="K58" s="362">
        <f t="shared" ca="1" si="39"/>
        <v>34200</v>
      </c>
    </row>
    <row r="59" spans="2:11">
      <c r="B59" s="515">
        <v>7</v>
      </c>
      <c r="C59" s="506" t="s">
        <v>1621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507">
        <f>F50*4</f>
        <v>4</v>
      </c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36"/>
        <v>0</v>
      </c>
      <c r="I59" s="361">
        <f t="shared" ca="1" si="37"/>
        <v>0</v>
      </c>
      <c r="J59" s="361">
        <f t="shared" ca="1" si="38"/>
        <v>0</v>
      </c>
      <c r="K59" s="362">
        <f t="shared" ca="1" si="39"/>
        <v>0</v>
      </c>
    </row>
    <row r="60" spans="2:11">
      <c r="B60" s="515">
        <v>8</v>
      </c>
      <c r="C60" s="506" t="s">
        <v>149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Set</v>
      </c>
      <c r="F60" s="507">
        <f>F50*1</f>
        <v>1</v>
      </c>
      <c r="G60" s="360">
        <f ca="1">IF(ISERROR(OFFSET('HARGA SATUAN'!$I$6,MATCH(RAB!C60,'HARGA SATUAN'!$C$7:$C$1492,0),0)),0,OFFSET('HARGA SATUAN'!$I$6,MATCH(RAB!C60,'HARGA SATUAN'!$C$7:$C$1492,0),0))</f>
        <v>67800</v>
      </c>
      <c r="H60" s="361">
        <f t="shared" ca="1" si="36"/>
        <v>0</v>
      </c>
      <c r="I60" s="361">
        <f t="shared" ca="1" si="37"/>
        <v>67800</v>
      </c>
      <c r="J60" s="361">
        <f t="shared" ca="1" si="38"/>
        <v>0</v>
      </c>
      <c r="K60" s="362">
        <f t="shared" ca="1" si="39"/>
        <v>67800</v>
      </c>
    </row>
    <row r="61" spans="2:11">
      <c r="B61" s="515">
        <v>9</v>
      </c>
      <c r="C61" s="506" t="s">
        <v>32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Mtr</v>
      </c>
      <c r="F61" s="507">
        <f>F50*2</f>
        <v>2</v>
      </c>
      <c r="G61" s="360">
        <f ca="1">IF(ISERROR(OFFSET('HARGA SATUAN'!$I$6,MATCH(RAB!C61,'HARGA SATUAN'!$C$7:$C$1492,0),0)),0,OFFSET('HARGA SATUAN'!$I$6,MATCH(RAB!C61,'HARGA SATUAN'!$C$7:$C$1492,0),0))</f>
        <v>30000</v>
      </c>
      <c r="H61" s="361">
        <f t="shared" ca="1" si="36"/>
        <v>0</v>
      </c>
      <c r="I61" s="361">
        <f t="shared" ca="1" si="37"/>
        <v>60000</v>
      </c>
      <c r="J61" s="361">
        <f t="shared" ca="1" si="38"/>
        <v>0</v>
      </c>
      <c r="K61" s="362">
        <f t="shared" ca="1" si="39"/>
        <v>60000</v>
      </c>
    </row>
    <row r="62" spans="2:11">
      <c r="B62" s="515">
        <v>10</v>
      </c>
      <c r="C62" s="506" t="s">
        <v>781</v>
      </c>
      <c r="D62" s="358" t="str">
        <f ca="1">IF(ISERROR(OFFSET('HARGA SATUAN'!$D$6,MATCH(RAB!C62,'HARGA SATUAN'!$C$7:$C$1492,0),0)),"",OFFSET('HARGA SATUAN'!$D$6,MATCH(RAB!C62,'HARGA SATUAN'!$C$7:$C$1492,0),0))</f>
        <v>JASA</v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507">
        <f>F50*1</f>
        <v>1</v>
      </c>
      <c r="G62" s="360">
        <f ca="1">IF(ISERROR(OFFSET('HARGA SATUAN'!$I$6,MATCH(RAB!C62,'HARGA SATUAN'!$C$7:$C$1492,0),0)),0,OFFSET('HARGA SATUAN'!$I$6,MATCH(RAB!C62,'HARGA SATUAN'!$C$7:$C$1492,0),0))</f>
        <v>346400</v>
      </c>
      <c r="H62" s="361">
        <f t="shared" ca="1" si="36"/>
        <v>0</v>
      </c>
      <c r="I62" s="361">
        <f t="shared" ca="1" si="37"/>
        <v>0</v>
      </c>
      <c r="J62" s="361">
        <f t="shared" ca="1" si="38"/>
        <v>346400</v>
      </c>
      <c r="K62" s="362">
        <f t="shared" ca="1" si="39"/>
        <v>346400</v>
      </c>
    </row>
    <row r="63" spans="2:11">
      <c r="B63" s="508"/>
      <c r="C63" s="109"/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501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ref="H63" ca="1" si="40">IF(OR(D63="MDU",D63="MDU-KD"),(IF($O$3="RAB NON MDU","PLN KD",G63*F63)),0)</f>
        <v>0</v>
      </c>
      <c r="I63" s="361">
        <f t="shared" ref="I63" ca="1" si="41">IF(D63="HDW",G63*F63,0)</f>
        <v>0</v>
      </c>
      <c r="J63" s="361">
        <f t="shared" ref="J63" ca="1" si="42">IF(D63="JASA",G63*F63,0)</f>
        <v>0</v>
      </c>
      <c r="K63" s="362">
        <f t="shared" ref="K63" ca="1" si="43">SUM(H63:J63)</f>
        <v>0</v>
      </c>
    </row>
    <row r="64" spans="2:11">
      <c r="B64" s="503" t="s">
        <v>1035</v>
      </c>
      <c r="C64" s="504" t="s">
        <v>1613</v>
      </c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01">
        <v>2</v>
      </c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ref="H64:H74" ca="1" si="44">IF(OR(D64="MDU",D64="MDU-KD"),(IF($O$3="RAB NON MDU","PLN KD",G64*F64)),0)</f>
        <v>0</v>
      </c>
      <c r="I64" s="361">
        <f t="shared" ref="I64:I74" ca="1" si="45">IF(D64="HDW",G64*F64,0)</f>
        <v>0</v>
      </c>
      <c r="J64" s="361">
        <f t="shared" ref="J64:J74" ca="1" si="46">IF(D64="JASA",G64*F64,0)</f>
        <v>0</v>
      </c>
      <c r="K64" s="362">
        <f t="shared" ref="K64:K74" ca="1" si="47">SUM(H64:J64)</f>
        <v>0</v>
      </c>
    </row>
    <row r="65" spans="2:11">
      <c r="B65" s="503">
        <v>1</v>
      </c>
      <c r="C65" s="505" t="s">
        <v>29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F64*1</f>
        <v>2</v>
      </c>
      <c r="G65" s="360">
        <f ca="1">IF(ISERROR(OFFSET('HARGA SATUAN'!$I$6,MATCH(RAB!C65,'HARGA SATUAN'!$C$7:$C$1492,0),0)),0,OFFSET('HARGA SATUAN'!$I$6,MATCH(RAB!C65,'HARGA SATUAN'!$C$7:$C$1492,0),0))</f>
        <v>185200</v>
      </c>
      <c r="H65" s="361">
        <f t="shared" ca="1" si="44"/>
        <v>0</v>
      </c>
      <c r="I65" s="361">
        <f t="shared" ca="1" si="45"/>
        <v>370400</v>
      </c>
      <c r="J65" s="361">
        <f t="shared" ca="1" si="46"/>
        <v>0</v>
      </c>
      <c r="K65" s="362">
        <f t="shared" ca="1" si="47"/>
        <v>370400</v>
      </c>
    </row>
    <row r="66" spans="2:11">
      <c r="B66" s="498">
        <v>2</v>
      </c>
      <c r="C66" s="499" t="s">
        <v>30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F64*1</f>
        <v>2</v>
      </c>
      <c r="G66" s="360">
        <f ca="1">IF(ISERROR(OFFSET('HARGA SATUAN'!$I$6,MATCH(RAB!C66,'HARGA SATUAN'!$C$7:$C$1492,0),0)),0,OFFSET('HARGA SATUAN'!$I$6,MATCH(RAB!C66,'HARGA SATUAN'!$C$7:$C$1492,0),0))</f>
        <v>47459</v>
      </c>
      <c r="H66" s="361">
        <f t="shared" ca="1" si="44"/>
        <v>0</v>
      </c>
      <c r="I66" s="361">
        <f t="shared" ca="1" si="45"/>
        <v>94918</v>
      </c>
      <c r="J66" s="361">
        <f t="shared" ca="1" si="46"/>
        <v>0</v>
      </c>
      <c r="K66" s="362">
        <f t="shared" ca="1" si="47"/>
        <v>94918</v>
      </c>
    </row>
    <row r="67" spans="2:11">
      <c r="B67" s="498">
        <v>3</v>
      </c>
      <c r="C67" s="499" t="s">
        <v>31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01">
        <f>F64*1</f>
        <v>2</v>
      </c>
      <c r="G67" s="360">
        <f ca="1">IF(ISERROR(OFFSET('HARGA SATUAN'!$I$6,MATCH(RAB!C67,'HARGA SATUAN'!$C$7:$C$1492,0),0)),0,OFFSET('HARGA SATUAN'!$I$6,MATCH(RAB!C67,'HARGA SATUAN'!$C$7:$C$1492,0),0))</f>
        <v>4880</v>
      </c>
      <c r="H67" s="361">
        <f t="shared" ca="1" si="44"/>
        <v>0</v>
      </c>
      <c r="I67" s="361">
        <f t="shared" ca="1" si="45"/>
        <v>9760</v>
      </c>
      <c r="J67" s="361">
        <f t="shared" ca="1" si="46"/>
        <v>0</v>
      </c>
      <c r="K67" s="362">
        <f t="shared" ca="1" si="47"/>
        <v>9760</v>
      </c>
    </row>
    <row r="68" spans="2:11">
      <c r="B68" s="498">
        <v>4</v>
      </c>
      <c r="C68" s="499" t="s">
        <v>32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Mtr</v>
      </c>
      <c r="F68" s="501">
        <f>F64*10</f>
        <v>20</v>
      </c>
      <c r="G68" s="360">
        <f ca="1">IF(ISERROR(OFFSET('HARGA SATUAN'!$I$6,MATCH(RAB!C68,'HARGA SATUAN'!$C$7:$C$1492,0),0)),0,OFFSET('HARGA SATUAN'!$I$6,MATCH(RAB!C68,'HARGA SATUAN'!$C$7:$C$1492,0),0))</f>
        <v>30000</v>
      </c>
      <c r="H68" s="361">
        <f t="shared" ca="1" si="44"/>
        <v>0</v>
      </c>
      <c r="I68" s="361">
        <f t="shared" ca="1" si="45"/>
        <v>600000</v>
      </c>
      <c r="J68" s="361">
        <f t="shared" ca="1" si="46"/>
        <v>0</v>
      </c>
      <c r="K68" s="362">
        <f t="shared" ca="1" si="47"/>
        <v>600000</v>
      </c>
    </row>
    <row r="69" spans="2:11">
      <c r="B69" s="498">
        <v>5</v>
      </c>
      <c r="C69" s="499" t="s">
        <v>33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01">
        <f>F64*2</f>
        <v>4</v>
      </c>
      <c r="G69" s="360">
        <f ca="1">IF(ISERROR(OFFSET('HARGA SATUAN'!$I$6,MATCH(RAB!C69,'HARGA SATUAN'!$C$7:$C$1492,0),0)),0,OFFSET('HARGA SATUAN'!$I$6,MATCH(RAB!C69,'HARGA SATUAN'!$C$7:$C$1492,0),0))</f>
        <v>9500</v>
      </c>
      <c r="H69" s="361">
        <f t="shared" ca="1" si="44"/>
        <v>0</v>
      </c>
      <c r="I69" s="361">
        <f t="shared" ca="1" si="45"/>
        <v>38000</v>
      </c>
      <c r="J69" s="361">
        <f t="shared" ca="1" si="46"/>
        <v>0</v>
      </c>
      <c r="K69" s="362">
        <f t="shared" ca="1" si="47"/>
        <v>38000</v>
      </c>
    </row>
    <row r="70" spans="2:11">
      <c r="B70" s="498">
        <v>6</v>
      </c>
      <c r="C70" s="499" t="s">
        <v>34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1">
        <f>F64*5.5</f>
        <v>11</v>
      </c>
      <c r="G70" s="360">
        <f ca="1">IF(ISERROR(OFFSET('HARGA SATUAN'!$I$6,MATCH(RAB!C70,'HARGA SATUAN'!$C$7:$C$1492,0),0)),0,OFFSET('HARGA SATUAN'!$I$6,MATCH(RAB!C70,'HARGA SATUAN'!$C$7:$C$1492,0),0))</f>
        <v>6100</v>
      </c>
      <c r="H70" s="361">
        <f t="shared" ca="1" si="44"/>
        <v>0</v>
      </c>
      <c r="I70" s="361">
        <f t="shared" ca="1" si="45"/>
        <v>67100</v>
      </c>
      <c r="J70" s="361">
        <f t="shared" ca="1" si="46"/>
        <v>0</v>
      </c>
      <c r="K70" s="362">
        <f t="shared" ca="1" si="47"/>
        <v>67100</v>
      </c>
    </row>
    <row r="71" spans="2:11">
      <c r="B71" s="498">
        <v>7</v>
      </c>
      <c r="C71" s="499" t="s">
        <v>35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1">
        <f>F64*6</f>
        <v>12</v>
      </c>
      <c r="G71" s="360">
        <f ca="1">IF(ISERROR(OFFSET('HARGA SATUAN'!$I$6,MATCH(RAB!C71,'HARGA SATUAN'!$C$7:$C$1492,0),0)),0,OFFSET('HARGA SATUAN'!$I$6,MATCH(RAB!C71,'HARGA SATUAN'!$C$7:$C$1492,0),0))</f>
        <v>2300</v>
      </c>
      <c r="H71" s="361">
        <f t="shared" ca="1" si="44"/>
        <v>0</v>
      </c>
      <c r="I71" s="361">
        <f t="shared" ca="1" si="45"/>
        <v>27600</v>
      </c>
      <c r="J71" s="361">
        <f t="shared" ca="1" si="46"/>
        <v>0</v>
      </c>
      <c r="K71" s="362">
        <f t="shared" ca="1" si="47"/>
        <v>27600</v>
      </c>
    </row>
    <row r="72" spans="2:11">
      <c r="B72" s="498">
        <v>8</v>
      </c>
      <c r="C72" s="499" t="s">
        <v>1614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Mtr</v>
      </c>
      <c r="F72" s="501">
        <f>F64*4.8</f>
        <v>9.6</v>
      </c>
      <c r="G72" s="360">
        <f ca="1">IF(ISERROR(OFFSET('HARGA SATUAN'!$I$6,MATCH(RAB!C72,'HARGA SATUAN'!$C$7:$C$1492,0),0)),0,OFFSET('HARGA SATUAN'!$I$6,MATCH(RAB!C72,'HARGA SATUAN'!$C$7:$C$1492,0),0))</f>
        <v>23310</v>
      </c>
      <c r="H72" s="361">
        <f t="shared" ca="1" si="44"/>
        <v>0</v>
      </c>
      <c r="I72" s="361">
        <f t="shared" ca="1" si="45"/>
        <v>223776</v>
      </c>
      <c r="J72" s="361">
        <f t="shared" ca="1" si="46"/>
        <v>0</v>
      </c>
      <c r="K72" s="362">
        <f t="shared" ca="1" si="47"/>
        <v>223776</v>
      </c>
    </row>
    <row r="73" spans="2:11">
      <c r="B73" s="498">
        <v>9</v>
      </c>
      <c r="C73" s="499" t="s">
        <v>736</v>
      </c>
      <c r="D73" s="358" t="str">
        <f ca="1">IF(ISERROR(OFFSET('HARGA SATUAN'!$D$6,MATCH(RAB!C73,'HARGA SATUAN'!$C$7:$C$1492,0),0)),"",OFFSET('HARGA SATUAN'!$D$6,MATCH(RAB!C73,'HARGA SATUAN'!$C$7:$C$1492,0),0))</f>
        <v>JASA</v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501">
        <f>F64*1</f>
        <v>2</v>
      </c>
      <c r="G73" s="360">
        <f ca="1">IF(ISERROR(OFFSET('HARGA SATUAN'!$I$6,MATCH(RAB!C73,'HARGA SATUAN'!$C$7:$C$1492,0),0)),0,OFFSET('HARGA SATUAN'!$I$6,MATCH(RAB!C73,'HARGA SATUAN'!$C$7:$C$1492,0),0))</f>
        <v>65400</v>
      </c>
      <c r="H73" s="361">
        <f t="shared" ca="1" si="44"/>
        <v>0</v>
      </c>
      <c r="I73" s="361">
        <f t="shared" ca="1" si="45"/>
        <v>0</v>
      </c>
      <c r="J73" s="361">
        <f t="shared" ca="1" si="46"/>
        <v>130800</v>
      </c>
      <c r="K73" s="362">
        <f t="shared" ca="1" si="47"/>
        <v>130800</v>
      </c>
    </row>
    <row r="74" spans="2:11">
      <c r="B74" s="494"/>
      <c r="C74" s="497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/>
      </c>
      <c r="F74" s="502"/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44"/>
        <v>0</v>
      </c>
      <c r="I74" s="361">
        <f t="shared" ca="1" si="45"/>
        <v>0</v>
      </c>
      <c r="J74" s="361">
        <f t="shared" ca="1" si="46"/>
        <v>0</v>
      </c>
      <c r="K74" s="362">
        <f t="shared" ca="1" si="47"/>
        <v>0</v>
      </c>
    </row>
    <row r="75" spans="2:11">
      <c r="B75" s="495" t="s">
        <v>1609</v>
      </c>
      <c r="C75" s="500" t="s">
        <v>1615</v>
      </c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368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ref="H75:H81" ca="1" si="48">IF(OR(D75="MDU",D75="MDU-KD"),(IF($O$3="RAB NON MDU","PLN KD",G75*F75)),0)</f>
        <v>0</v>
      </c>
      <c r="I75" s="361">
        <f t="shared" ref="I75:I81" ca="1" si="49">IF(D75="HDW",G75*F75,0)</f>
        <v>0</v>
      </c>
      <c r="J75" s="361">
        <f t="shared" ref="J75:J81" ca="1" si="50">IF(D75="JASA",G75*F75,0)</f>
        <v>0</v>
      </c>
      <c r="K75" s="362">
        <f t="shared" ref="K75:K81" ca="1" si="51">SUM(H75:J75)</f>
        <v>0</v>
      </c>
    </row>
    <row r="76" spans="2:11">
      <c r="B76" s="495"/>
      <c r="C76" s="496"/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510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48"/>
        <v>0</v>
      </c>
      <c r="I76" s="361">
        <f t="shared" ca="1" si="49"/>
        <v>0</v>
      </c>
      <c r="J76" s="361">
        <f t="shared" ca="1" si="50"/>
        <v>0</v>
      </c>
      <c r="K76" s="362">
        <f t="shared" ca="1" si="51"/>
        <v>0</v>
      </c>
    </row>
    <row r="77" spans="2:11">
      <c r="B77" s="495" t="s">
        <v>1035</v>
      </c>
      <c r="C77" s="496" t="s">
        <v>1623</v>
      </c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518">
        <v>1</v>
      </c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48"/>
        <v>0</v>
      </c>
      <c r="I77" s="361">
        <f t="shared" ca="1" si="49"/>
        <v>0</v>
      </c>
      <c r="J77" s="361">
        <f t="shared" ca="1" si="50"/>
        <v>0</v>
      </c>
      <c r="K77" s="362">
        <f t="shared" ca="1" si="51"/>
        <v>0</v>
      </c>
    </row>
    <row r="78" spans="2:11" ht="30">
      <c r="B78" s="515">
        <v>1</v>
      </c>
      <c r="C78" s="109" t="s">
        <v>1141</v>
      </c>
      <c r="D78" s="358" t="str">
        <f ca="1">IF(ISERROR(OFFSET('HARGA SATUAN'!$D$6,MATCH(RAB!C78,'HARGA SATUAN'!$C$7:$C$1492,0),0)),"",OFFSET('HARGA SATUAN'!$D$6,MATCH(RAB!C78,'HARGA SATUAN'!$C$7:$C$1492,0),0))</f>
        <v>MDU-KD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18">
        <f>F77*1</f>
        <v>1</v>
      </c>
      <c r="G78" s="360">
        <f ca="1">IF(ISERROR(OFFSET('HARGA SATUAN'!$I$6,MATCH(RAB!C78,'HARGA SATUAN'!$C$7:$C$1492,0),0)),0,OFFSET('HARGA SATUAN'!$I$6,MATCH(RAB!C78,'HARGA SATUAN'!$C$7:$C$1492,0),0))</f>
        <v>1740750</v>
      </c>
      <c r="H78" s="361">
        <f t="shared" ca="1" si="48"/>
        <v>1740750</v>
      </c>
      <c r="I78" s="361">
        <f t="shared" ca="1" si="49"/>
        <v>0</v>
      </c>
      <c r="J78" s="361">
        <f t="shared" ca="1" si="50"/>
        <v>0</v>
      </c>
      <c r="K78" s="362">
        <f t="shared" ca="1" si="51"/>
        <v>1740750</v>
      </c>
    </row>
    <row r="79" spans="2:11">
      <c r="B79" s="515">
        <v>2</v>
      </c>
      <c r="C79" s="517" t="s">
        <v>493</v>
      </c>
      <c r="D79" s="358" t="str">
        <f ca="1">IF(ISERROR(OFFSET('HARGA SATUAN'!$D$6,MATCH(RAB!C79,'HARGA SATUAN'!$C$7:$C$1492,0),0)),"",OFFSET('HARGA SATUAN'!$D$6,MATCH(RAB!C79,'HARGA SATUAN'!$C$7:$C$1492,0),0))</f>
        <v>MDU-KD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18">
        <f>F77*1</f>
        <v>1</v>
      </c>
      <c r="G79" s="360">
        <f ca="1">IF(ISERROR(OFFSET('HARGA SATUAN'!$I$6,MATCH(RAB!C79,'HARGA SATUAN'!$C$7:$C$1492,0),0)),0,OFFSET('HARGA SATUAN'!$I$6,MATCH(RAB!C79,'HARGA SATUAN'!$C$7:$C$1492,0),0))</f>
        <v>39000</v>
      </c>
      <c r="H79" s="361">
        <f t="shared" ca="1" si="48"/>
        <v>39000</v>
      </c>
      <c r="I79" s="361">
        <f t="shared" ca="1" si="49"/>
        <v>0</v>
      </c>
      <c r="J79" s="361">
        <f t="shared" ca="1" si="50"/>
        <v>0</v>
      </c>
      <c r="K79" s="362">
        <f t="shared" ca="1" si="51"/>
        <v>39000</v>
      </c>
    </row>
    <row r="80" spans="2:11">
      <c r="B80" s="515">
        <v>3</v>
      </c>
      <c r="C80" s="517" t="s">
        <v>74</v>
      </c>
      <c r="D80" s="358" t="str">
        <f ca="1">IF(ISERROR(OFFSET('HARGA SATUAN'!$D$6,MATCH(RAB!C80,'HARGA SATUAN'!$C$7:$C$1492,0),0)),"",OFFSET('HARGA SATUAN'!$D$6,MATCH(RAB!C80,'HARGA SATUAN'!$C$7:$C$1492,0),0))</f>
        <v>MDU-KD</v>
      </c>
      <c r="E80" s="359" t="str">
        <f ca="1">IF(B80="+","Unit",IF(ISERROR(OFFSET('HARGA SATUAN'!$E$6,MATCH(RAB!C80,'HARGA SATUAN'!$C$7:$C$1492,0),0)),"",OFFSET('HARGA SATUAN'!$E$6,MATCH(RAB!C80,'HARGA SATUAN'!$C$7:$C$1492,0),0)))</f>
        <v>Mtr</v>
      </c>
      <c r="F80" s="518">
        <f>F77*35</f>
        <v>35</v>
      </c>
      <c r="G80" s="360">
        <f ca="1">IF(ISERROR(OFFSET('HARGA SATUAN'!$I$6,MATCH(RAB!C80,'HARGA SATUAN'!$C$7:$C$1492,0),0)),0,OFFSET('HARGA SATUAN'!$I$6,MATCH(RAB!C80,'HARGA SATUAN'!$C$7:$C$1492,0),0))</f>
        <v>6600</v>
      </c>
      <c r="H80" s="361">
        <f t="shared" ca="1" si="48"/>
        <v>231000</v>
      </c>
      <c r="I80" s="361">
        <f t="shared" ca="1" si="49"/>
        <v>0</v>
      </c>
      <c r="J80" s="361">
        <f t="shared" ca="1" si="50"/>
        <v>0</v>
      </c>
      <c r="K80" s="362">
        <f t="shared" ca="1" si="51"/>
        <v>231000</v>
      </c>
    </row>
    <row r="81" spans="2:11">
      <c r="B81" s="515">
        <v>4</v>
      </c>
      <c r="C81" s="517" t="s">
        <v>798</v>
      </c>
      <c r="D81" s="358" t="str">
        <f ca="1">IF(ISERROR(OFFSET('HARGA SATUAN'!$D$6,MATCH(RAB!C81,'HARGA SATUAN'!$C$7:$C$1492,0),0)),"",OFFSET('HARGA SATUAN'!$D$6,MATCH(RAB!C81,'HARGA SATUAN'!$C$7:$C$1492,0),0))</f>
        <v>JASA</v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18">
        <f>F77*1</f>
        <v>1</v>
      </c>
      <c r="G81" s="360">
        <f ca="1">IF(ISERROR(OFFSET('HARGA SATUAN'!$I$6,MATCH(RAB!C81,'HARGA SATUAN'!$C$7:$C$1492,0),0)),0,OFFSET('HARGA SATUAN'!$I$6,MATCH(RAB!C81,'HARGA SATUAN'!$C$7:$C$1492,0),0))</f>
        <v>54400</v>
      </c>
      <c r="H81" s="361">
        <f t="shared" ca="1" si="48"/>
        <v>0</v>
      </c>
      <c r="I81" s="361">
        <f t="shared" ca="1" si="49"/>
        <v>0</v>
      </c>
      <c r="J81" s="361">
        <f t="shared" ca="1" si="50"/>
        <v>54400</v>
      </c>
      <c r="K81" s="362">
        <f t="shared" ca="1" si="51"/>
        <v>54400</v>
      </c>
    </row>
    <row r="82" spans="2:11">
      <c r="B82" s="374"/>
      <c r="C82" s="509"/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368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ref="H82:H94" ca="1" si="52">IF(OR(D82="MDU",D82="MDU-KD"),(IF($O$3="RAB NON MDU","PLN KD",G82*F82)),0)</f>
        <v>0</v>
      </c>
      <c r="I82" s="361">
        <f t="shared" ref="I82:I94" ca="1" si="53">IF(D82="HDW",G82*F82,0)</f>
        <v>0</v>
      </c>
      <c r="J82" s="361">
        <f t="shared" ref="J82:J94" ca="1" si="54">IF(D82="JASA",G82*F82,0)</f>
        <v>0</v>
      </c>
      <c r="K82" s="362">
        <f t="shared" ref="K82:K94" ca="1" si="55">SUM(H82:J82)</f>
        <v>0</v>
      </c>
    </row>
    <row r="83" spans="2:11">
      <c r="B83" s="515" t="s">
        <v>1035</v>
      </c>
      <c r="C83" s="517" t="s">
        <v>1622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518">
        <v>1</v>
      </c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52"/>
        <v>0</v>
      </c>
      <c r="I83" s="361">
        <f t="shared" ca="1" si="53"/>
        <v>0</v>
      </c>
      <c r="J83" s="361">
        <f t="shared" ca="1" si="54"/>
        <v>0</v>
      </c>
      <c r="K83" s="362">
        <f t="shared" ca="1" si="55"/>
        <v>0</v>
      </c>
    </row>
    <row r="84" spans="2:11">
      <c r="B84" s="515">
        <v>1</v>
      </c>
      <c r="C84" s="517" t="s">
        <v>115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Set</v>
      </c>
      <c r="F84" s="518">
        <f>F83*1</f>
        <v>1</v>
      </c>
      <c r="G84" s="360">
        <f ca="1">IF(ISERROR(OFFSET('HARGA SATUAN'!$I$6,MATCH(RAB!C84,'HARGA SATUAN'!$C$7:$C$1492,0),0)),0,OFFSET('HARGA SATUAN'!$I$6,MATCH(RAB!C84,'HARGA SATUAN'!$C$7:$C$1492,0),0))</f>
        <v>11500</v>
      </c>
      <c r="H84" s="361">
        <f t="shared" ca="1" si="52"/>
        <v>0</v>
      </c>
      <c r="I84" s="361">
        <f t="shared" ca="1" si="53"/>
        <v>11500</v>
      </c>
      <c r="J84" s="361">
        <f t="shared" ca="1" si="54"/>
        <v>0</v>
      </c>
      <c r="K84" s="362">
        <f t="shared" ca="1" si="55"/>
        <v>11500</v>
      </c>
    </row>
    <row r="85" spans="2:11">
      <c r="B85" s="515">
        <v>2</v>
      </c>
      <c r="C85" s="517" t="s">
        <v>145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Set</v>
      </c>
      <c r="F85" s="518">
        <f>F83*1</f>
        <v>1</v>
      </c>
      <c r="G85" s="360">
        <f ca="1">IF(ISERROR(OFFSET('HARGA SATUAN'!$I$6,MATCH(RAB!C85,'HARGA SATUAN'!$C$7:$C$1492,0),0)),0,OFFSET('HARGA SATUAN'!$I$6,MATCH(RAB!C85,'HARGA SATUAN'!$C$7:$C$1492,0),0))</f>
        <v>6200</v>
      </c>
      <c r="H85" s="361">
        <f t="shared" ca="1" si="52"/>
        <v>0</v>
      </c>
      <c r="I85" s="361">
        <f t="shared" ca="1" si="53"/>
        <v>6200</v>
      </c>
      <c r="J85" s="361">
        <f t="shared" ca="1" si="54"/>
        <v>0</v>
      </c>
      <c r="K85" s="362">
        <f t="shared" ca="1" si="55"/>
        <v>6200</v>
      </c>
    </row>
    <row r="86" spans="2:11">
      <c r="B86" s="515">
        <v>3</v>
      </c>
      <c r="C86" s="517" t="s">
        <v>587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Btg</v>
      </c>
      <c r="F86" s="518">
        <f>F83*1</f>
        <v>1</v>
      </c>
      <c r="G86" s="360">
        <f ca="1">IF(ISERROR(OFFSET('HARGA SATUAN'!$I$6,MATCH(RAB!C86,'HARGA SATUAN'!$C$7:$C$1492,0),0)),0,OFFSET('HARGA SATUAN'!$I$6,MATCH(RAB!C86,'HARGA SATUAN'!$C$7:$C$1492,0),0))</f>
        <v>45796</v>
      </c>
      <c r="H86" s="361">
        <f t="shared" ca="1" si="52"/>
        <v>0</v>
      </c>
      <c r="I86" s="361">
        <f t="shared" ca="1" si="53"/>
        <v>45796</v>
      </c>
      <c r="J86" s="361">
        <f t="shared" ca="1" si="54"/>
        <v>0</v>
      </c>
      <c r="K86" s="362">
        <f t="shared" ca="1" si="55"/>
        <v>45796</v>
      </c>
    </row>
    <row r="87" spans="2:11">
      <c r="B87" s="515">
        <v>4</v>
      </c>
      <c r="C87" s="517" t="s">
        <v>118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Set</v>
      </c>
      <c r="F87" s="518">
        <f>F83*1</f>
        <v>1</v>
      </c>
      <c r="G87" s="360">
        <f ca="1">IF(ISERROR(OFFSET('HARGA SATUAN'!$I$6,MATCH(RAB!C87,'HARGA SATUAN'!$C$7:$C$1492,0),0)),0,OFFSET('HARGA SATUAN'!$I$6,MATCH(RAB!C87,'HARGA SATUAN'!$C$7:$C$1492,0),0))</f>
        <v>5300</v>
      </c>
      <c r="H87" s="361">
        <f t="shared" ca="1" si="52"/>
        <v>0</v>
      </c>
      <c r="I87" s="361">
        <f t="shared" ca="1" si="53"/>
        <v>5300</v>
      </c>
      <c r="J87" s="361">
        <f t="shared" ca="1" si="54"/>
        <v>0</v>
      </c>
      <c r="K87" s="362">
        <f t="shared" ca="1" si="55"/>
        <v>5300</v>
      </c>
    </row>
    <row r="88" spans="2:11">
      <c r="B88" s="515">
        <v>5</v>
      </c>
      <c r="C88" s="517" t="s">
        <v>117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18">
        <f>F83*1</f>
        <v>1</v>
      </c>
      <c r="G88" s="360">
        <f ca="1">IF(ISERROR(OFFSET('HARGA SATUAN'!$I$6,MATCH(RAB!C88,'HARGA SATUAN'!$C$7:$C$1492,0),0)),0,OFFSET('HARGA SATUAN'!$I$6,MATCH(RAB!C88,'HARGA SATUAN'!$C$7:$C$1492,0),0))</f>
        <v>58600</v>
      </c>
      <c r="H88" s="361">
        <f t="shared" ca="1" si="52"/>
        <v>0</v>
      </c>
      <c r="I88" s="361">
        <f t="shared" ca="1" si="53"/>
        <v>58600</v>
      </c>
      <c r="J88" s="361">
        <f t="shared" ca="1" si="54"/>
        <v>0</v>
      </c>
      <c r="K88" s="362">
        <f t="shared" ca="1" si="55"/>
        <v>58600</v>
      </c>
    </row>
    <row r="89" spans="2:11">
      <c r="B89" s="515">
        <v>6</v>
      </c>
      <c r="C89" s="109" t="s">
        <v>1154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Set</v>
      </c>
      <c r="F89" s="518">
        <f>F83*1</f>
        <v>1</v>
      </c>
      <c r="G89" s="360">
        <f ca="1">IF(ISERROR(OFFSET('HARGA SATUAN'!$I$6,MATCH(RAB!C89,'HARGA SATUAN'!$C$7:$C$1492,0),0)),0,OFFSET('HARGA SATUAN'!$I$6,MATCH(RAB!C89,'HARGA SATUAN'!$C$7:$C$1492,0),0))</f>
        <v>3888</v>
      </c>
      <c r="H89" s="361">
        <f t="shared" ca="1" si="52"/>
        <v>0</v>
      </c>
      <c r="I89" s="361">
        <f t="shared" ca="1" si="53"/>
        <v>3888</v>
      </c>
      <c r="J89" s="361">
        <f t="shared" ca="1" si="54"/>
        <v>0</v>
      </c>
      <c r="K89" s="362">
        <f t="shared" ca="1" si="55"/>
        <v>3888</v>
      </c>
    </row>
    <row r="90" spans="2:11">
      <c r="B90" s="515">
        <v>7</v>
      </c>
      <c r="C90" s="517" t="s">
        <v>119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Set</v>
      </c>
      <c r="F90" s="518">
        <f>F83*2</f>
        <v>2</v>
      </c>
      <c r="G90" s="360">
        <f ca="1">IF(ISERROR(OFFSET('HARGA SATUAN'!$I$6,MATCH(RAB!C90,'HARGA SATUAN'!$C$7:$C$1492,0),0)),0,OFFSET('HARGA SATUAN'!$I$6,MATCH(RAB!C90,'HARGA SATUAN'!$C$7:$C$1492,0),0))</f>
        <v>8900</v>
      </c>
      <c r="H90" s="361">
        <f t="shared" ca="1" si="52"/>
        <v>0</v>
      </c>
      <c r="I90" s="361">
        <f t="shared" ca="1" si="53"/>
        <v>17800</v>
      </c>
      <c r="J90" s="361">
        <f t="shared" ca="1" si="54"/>
        <v>0</v>
      </c>
      <c r="K90" s="362">
        <f t="shared" ca="1" si="55"/>
        <v>17800</v>
      </c>
    </row>
    <row r="91" spans="2:11">
      <c r="B91" s="374"/>
      <c r="C91" s="509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368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ca="1" si="52"/>
        <v>0</v>
      </c>
      <c r="I91" s="361">
        <f t="shared" ca="1" si="53"/>
        <v>0</v>
      </c>
      <c r="J91" s="361">
        <f t="shared" ca="1" si="54"/>
        <v>0</v>
      </c>
      <c r="K91" s="362">
        <f t="shared" ca="1" si="55"/>
        <v>0</v>
      </c>
    </row>
    <row r="92" spans="2:11">
      <c r="B92" s="366" t="s">
        <v>22</v>
      </c>
      <c r="C92" s="367" t="s">
        <v>1611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/>
      </c>
      <c r="F92" s="368"/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52"/>
        <v>0</v>
      </c>
      <c r="I92" s="361">
        <f t="shared" ca="1" si="53"/>
        <v>0</v>
      </c>
      <c r="J92" s="361">
        <f t="shared" ca="1" si="54"/>
        <v>0</v>
      </c>
      <c r="K92" s="362">
        <f t="shared" ca="1" si="55"/>
        <v>0</v>
      </c>
    </row>
    <row r="93" spans="2:11">
      <c r="B93" s="374"/>
      <c r="C93" s="373"/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/>
      </c>
      <c r="F93" s="368"/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ca="1" si="52"/>
        <v>0</v>
      </c>
      <c r="I93" s="361">
        <f t="shared" ca="1" si="53"/>
        <v>0</v>
      </c>
      <c r="J93" s="361">
        <f t="shared" ca="1" si="54"/>
        <v>0</v>
      </c>
      <c r="K93" s="362">
        <f t="shared" ca="1" si="55"/>
        <v>0</v>
      </c>
    </row>
    <row r="94" spans="2:11">
      <c r="B94" s="375"/>
      <c r="C94" s="376" t="s">
        <v>475</v>
      </c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368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52"/>
        <v>0</v>
      </c>
      <c r="I94" s="361">
        <f t="shared" ca="1" si="53"/>
        <v>0</v>
      </c>
      <c r="J94" s="361">
        <f t="shared" ca="1" si="54"/>
        <v>0</v>
      </c>
      <c r="K94" s="362">
        <f t="shared" ca="1" si="55"/>
        <v>0</v>
      </c>
    </row>
    <row r="95" spans="2:11">
      <c r="B95" s="378">
        <v>1</v>
      </c>
      <c r="C95" s="379" t="s">
        <v>1091</v>
      </c>
      <c r="D95" s="380" t="str">
        <f ca="1">IF(ISERROR(OFFSET('HARGA SATUAN'!$D$6,MATCH(RAB!C95,'HARGA SATUAN'!$C$7:$C$1492,0),0)),"",OFFSET('HARGA SATUAN'!$D$6,MATCH(RAB!C95,'HARGA SATUAN'!$C$7:$C$1492,0),0))</f>
        <v>JASA</v>
      </c>
      <c r="E95" s="381" t="str">
        <f ca="1">IF(ISERROR(OFFSET('HARGA SATUAN'!$E$6,MATCH(RAB!C95,'HARGA SATUAN'!$C$7:$C$1492,0),0)),"",OFFSET('HARGA SATUAN'!$E$6,MATCH(RAB!C95,'HARGA SATUAN'!$C$7:$C$1492,0),0))</f>
        <v>Lot</v>
      </c>
      <c r="F95" s="382">
        <v>1</v>
      </c>
      <c r="G95" s="383">
        <f ca="1">IF(ISERROR(OFFSET('HARGA SATUAN'!$I$6,MATCH(RAB!C95,'HARGA SATUAN'!$C$7:$C$1492,0),0)),0,OFFSET('HARGA SATUAN'!$I$6,MATCH(RAB!C95,'HARGA SATUAN'!$C$7:$C$1492,0),0))</f>
        <v>2.5000000000000001E-2</v>
      </c>
      <c r="H95" s="384"/>
      <c r="I95" s="384"/>
      <c r="J95" s="384">
        <f ca="1">SUM(K15:K21)*G95</f>
        <v>440755</v>
      </c>
      <c r="K95" s="385">
        <f ca="1">SUM(H95:J95)</f>
        <v>440755</v>
      </c>
    </row>
    <row r="96" spans="2:11">
      <c r="B96" s="386"/>
      <c r="C96" s="387"/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IF(ISERROR(OFFSET('HARGA SATUAN'!$E$6,MATCH(RAB!C96,'HARGA SATUAN'!$C$7:$C$1492,0),0)),"",OFFSET('HARGA SATUAN'!$E$6,MATCH(RAB!C96,'HARGA SATUAN'!$C$7:$C$1492,0),0))</f>
        <v/>
      </c>
      <c r="F96" s="377"/>
      <c r="G96" s="360" t="str">
        <f ca="1">IF(ISERROR(OFFSET('HARGA SATUAN'!$I$6,MATCH(RAB!C96,'HARGA SATUAN'!$C$7:$C$1492,0),0)),"",OFFSET('HARGA SATUAN'!$I$6,MATCH(RAB!C96,'HARGA SATUAN'!$C$7:$C$1492,0),0))</f>
        <v/>
      </c>
      <c r="H96" s="361">
        <f ca="1">IF(OR(D96="MDU",D96="MDU-KD"),IF(G96="PLN",0,G96*F96),0)</f>
        <v>0</v>
      </c>
      <c r="I96" s="361">
        <f ca="1">IF(D96="HDW",IF(G96="PLN",0,G96*F96),0)</f>
        <v>0</v>
      </c>
      <c r="J96" s="361">
        <f ca="1">IF(D96="JASA",IF(G96="PLN",0,G96*F96),0)</f>
        <v>0</v>
      </c>
      <c r="K96" s="362">
        <f ca="1">SUM(H96:J96)</f>
        <v>0</v>
      </c>
    </row>
    <row r="97" spans="2:13" ht="15.75" thickBot="1">
      <c r="B97" s="388"/>
      <c r="C97" s="389"/>
      <c r="D97" s="390"/>
      <c r="E97" s="391"/>
      <c r="F97" s="391"/>
      <c r="G97" s="391"/>
      <c r="H97" s="392"/>
      <c r="I97" s="392"/>
      <c r="J97" s="392"/>
      <c r="K97" s="393"/>
    </row>
    <row r="98" spans="2:13">
      <c r="B98" s="394"/>
      <c r="C98" s="622" t="s">
        <v>1008</v>
      </c>
      <c r="D98" s="622"/>
      <c r="E98" s="622"/>
      <c r="F98" s="622"/>
      <c r="G98" s="395" t="s">
        <v>9</v>
      </c>
      <c r="H98" s="396">
        <f ca="1">SUM(H14:H96)</f>
        <v>40060300</v>
      </c>
      <c r="I98" s="396">
        <f ca="1">SUM(I14:I96)</f>
        <v>20922948</v>
      </c>
      <c r="J98" s="396">
        <f ca="1">SUM(J14:J96)</f>
        <v>1518055</v>
      </c>
      <c r="K98" s="396">
        <f ca="1">SUM(K14:K96)</f>
        <v>62501303</v>
      </c>
    </row>
    <row r="99" spans="2:13">
      <c r="B99" s="398"/>
      <c r="C99" s="638" t="s">
        <v>1457</v>
      </c>
      <c r="D99" s="638"/>
      <c r="E99" s="638"/>
      <c r="F99" s="638"/>
      <c r="G99" s="399" t="s">
        <v>9</v>
      </c>
      <c r="H99" s="400">
        <f ca="1">H98*0.11</f>
        <v>4406633</v>
      </c>
      <c r="I99" s="400">
        <f ca="1">I98*0.11</f>
        <v>2301524.2799999998</v>
      </c>
      <c r="J99" s="400">
        <f ca="1">J98*0.11</f>
        <v>166986.04999999999</v>
      </c>
      <c r="K99" s="400">
        <f ca="1">K98*0.11</f>
        <v>6875143.3300000001</v>
      </c>
    </row>
    <row r="100" spans="2:13" ht="15.75" thickBot="1">
      <c r="B100" s="398"/>
      <c r="C100" s="636" t="s">
        <v>463</v>
      </c>
      <c r="D100" s="636"/>
      <c r="E100" s="636"/>
      <c r="F100" s="636"/>
      <c r="G100" s="401" t="s">
        <v>9</v>
      </c>
      <c r="H100" s="402">
        <f ca="1">SUM(H98:H99)</f>
        <v>44466933</v>
      </c>
      <c r="I100" s="402">
        <f ca="1">SUM(I98:I99)</f>
        <v>23224472.280000001</v>
      </c>
      <c r="J100" s="401">
        <f ca="1">SUM(J98:J99)</f>
        <v>1685041.05</v>
      </c>
      <c r="K100" s="401">
        <f ca="1">SUM(K98:K99)</f>
        <v>69376446.329999998</v>
      </c>
      <c r="M100" s="484"/>
    </row>
    <row r="101" spans="2:13">
      <c r="B101" s="639" t="str">
        <f ca="1">"Terbilang : "&amp;PROPER(IF(K100=0,"nol",IF(K100&lt;0,"minus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IF(--MID(TEXT(ABS(K100),"000000000000000"),1,3)=0,"",MID(TEXT(ABS(K100),"000000000000000"),1,1)&amp;" ratus "&amp;MID(TEXT(ABS(K100),"000000000000000"),2,1)&amp;" puluh "&amp;MID(TEXT(ABS(K100),"000000000000000"),3,1)&amp;" trilyun ")&amp; IF(--MID(TEXT(ABS(K100),"000000000000000"),4,3)=0,"",MID(TEXT(ABS(K100),"000000000000000"),4,1)&amp;" ratus "&amp;MID(TEXT(ABS(K100),"000000000000000"),5,1)&amp;" puluh "&amp;MID(TEXT(ABS(K100),"000000000000000"),6,1)&amp;" milyar ")&amp; IF(--MID(TEXT(ABS(K100),"000000000000000"),7,3)=0,"",MID(TEXT(ABS(K100),"000000000000000"),7,1)&amp;" ratus "&amp;MID(TEXT(ABS(K100),"000000000000000"),8,1)&amp;" puluh "&amp;MID(TEXT(ABS(K100),"000000000000000"),9,1)&amp;" juta ")&amp; IF(--MID(TEXT(ABS(K100),"000000000000000"),10,3)=0,"",IF(--MID(TEXT(ABS(K100),"000000000000000"),10,3)=1,"*",MID(TEXT(ABS(K100),"000000000000000"),10,1)&amp;" ratus "&amp;MID(TEXT(ABS(K100),"000000000000000"),11,1)&amp;" puluh ")&amp;MID(TEXT(ABS(K100),"000000000000000"),12,1)&amp;" ribu ")&amp; IF(--MID(TEXT(ABS(K100),"000000000000000"),13,3)=0,"",MID(TEXT(ABS(K100),"000000000000000"),13,1)&amp;" ratus "&amp;MID(TEXT(ABS(K100),"000000000000000"),14,1)&amp;" puluh "&amp;MID(TEXT(ABS(K100),"000000000000000"),15,1)),1,"satu"),2,"dua"),3,"tiga"),4,"empat"),5,"lima"),6,"enam"),7,"tujuh"),8,"delapan"),9,"sembilan"),"0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Puluh Sembilan Juta Tiga Ratus Tujuh Puluh Enam Ribu Empat Ratus Empat Puluh Enam Rupiah</v>
      </c>
      <c r="C101" s="640"/>
      <c r="D101" s="640"/>
      <c r="E101" s="640"/>
      <c r="F101" s="640"/>
      <c r="G101" s="640"/>
      <c r="H101" s="640"/>
      <c r="I101" s="640"/>
      <c r="J101" s="640"/>
      <c r="K101" s="641"/>
    </row>
    <row r="102" spans="2:13">
      <c r="B102" s="642"/>
      <c r="C102" s="643"/>
      <c r="D102" s="643"/>
      <c r="E102" s="643"/>
      <c r="F102" s="643"/>
      <c r="G102" s="643"/>
      <c r="H102" s="643"/>
      <c r="I102" s="643"/>
      <c r="J102" s="643"/>
      <c r="K102" s="644"/>
    </row>
    <row r="103" spans="2:13" ht="15.75" thickBot="1">
      <c r="B103" s="403" t="str">
        <f>"Harga yang dipakai adalah "&amp;'HARGA SATUAN'!I5&amp;""</f>
        <v>Harga yang dipakai adalah RAB HSS 2023</v>
      </c>
      <c r="C103" s="404"/>
      <c r="D103" s="405"/>
      <c r="E103" s="405"/>
      <c r="F103" s="405"/>
      <c r="G103" s="406"/>
      <c r="H103" s="406"/>
      <c r="I103" s="406"/>
      <c r="J103" s="406"/>
      <c r="K103" s="407"/>
    </row>
    <row r="104" spans="2:13">
      <c r="C104" s="408"/>
      <c r="E104" s="410"/>
      <c r="F104" s="410"/>
      <c r="G104" s="410"/>
    </row>
    <row r="105" spans="2:13">
      <c r="C105" s="337"/>
      <c r="E105" s="410"/>
      <c r="F105" s="410"/>
      <c r="G105" s="410"/>
      <c r="H105" s="645"/>
      <c r="I105" s="645"/>
      <c r="J105" s="646"/>
      <c r="K105" s="646"/>
    </row>
    <row r="106" spans="2:13">
      <c r="C106" s="337"/>
      <c r="E106" s="410"/>
      <c r="F106" s="410"/>
      <c r="G106" s="410"/>
      <c r="H106" s="411"/>
      <c r="I106" s="635" t="s">
        <v>1635</v>
      </c>
      <c r="J106" s="635"/>
      <c r="K106" s="635"/>
    </row>
    <row r="107" spans="2:13">
      <c r="C107" s="337"/>
      <c r="E107" s="410"/>
      <c r="F107" s="410"/>
      <c r="G107" s="410"/>
      <c r="H107" s="411"/>
      <c r="I107" s="635" t="s">
        <v>1636</v>
      </c>
      <c r="J107" s="635"/>
      <c r="K107" s="635"/>
    </row>
    <row r="108" spans="2:13">
      <c r="C108" s="337"/>
      <c r="E108" s="410"/>
      <c r="F108" s="410"/>
      <c r="G108" s="410"/>
      <c r="H108" s="412"/>
      <c r="I108" s="413"/>
      <c r="J108" s="413"/>
      <c r="K108" s="413"/>
    </row>
    <row r="109" spans="2:13">
      <c r="C109" s="337"/>
      <c r="E109" s="410"/>
      <c r="F109" s="410"/>
      <c r="G109" s="410"/>
      <c r="H109" s="412"/>
      <c r="I109" s="412"/>
      <c r="J109" s="412"/>
      <c r="K109" s="412"/>
    </row>
    <row r="110" spans="2:13">
      <c r="C110" s="337"/>
      <c r="E110" s="410"/>
      <c r="F110" s="410"/>
      <c r="G110" s="410"/>
      <c r="H110" s="412"/>
      <c r="I110" s="412"/>
      <c r="J110" s="412"/>
      <c r="K110" s="412"/>
    </row>
    <row r="111" spans="2:13">
      <c r="C111" s="337"/>
      <c r="E111" s="410"/>
      <c r="F111" s="410"/>
      <c r="G111" s="410"/>
      <c r="H111" s="412"/>
      <c r="I111" s="412"/>
      <c r="J111" s="412"/>
      <c r="K111" s="412"/>
    </row>
    <row r="112" spans="2:13">
      <c r="C112" s="337"/>
      <c r="E112" s="410"/>
      <c r="F112" s="410"/>
      <c r="G112" s="410"/>
      <c r="H112" s="414"/>
      <c r="I112" s="635" t="s">
        <v>1637</v>
      </c>
      <c r="J112" s="635"/>
      <c r="K112" s="635"/>
    </row>
    <row r="113" spans="3:11">
      <c r="C113" s="408"/>
      <c r="E113" s="410"/>
      <c r="F113" s="410"/>
      <c r="G113" s="410"/>
      <c r="H113" s="412"/>
      <c r="I113" s="412"/>
      <c r="J113" s="412"/>
      <c r="K113" s="412"/>
    </row>
    <row r="114" spans="3:11">
      <c r="C114" s="408"/>
      <c r="E114" s="410"/>
      <c r="F114" s="410"/>
      <c r="G114" s="410"/>
      <c r="H114" s="412"/>
      <c r="I114" s="412"/>
      <c r="J114" s="412"/>
      <c r="K114" s="412"/>
    </row>
    <row r="115" spans="3:11">
      <c r="C115" s="408"/>
      <c r="E115" s="410"/>
      <c r="F115" s="410"/>
      <c r="G115" s="410"/>
      <c r="H115" s="412"/>
      <c r="I115" s="412"/>
      <c r="J115" s="412"/>
      <c r="K115" s="412"/>
    </row>
  </sheetData>
  <sheetProtection sort="0" autoFilter="0"/>
  <protectedRanges>
    <protectedRange sqref="B93 B76:B91" name="Range1_1"/>
    <protectedRange sqref="F75:F94 F40:F42 F49 F14:F38" name="Range1_1_2_2"/>
    <protectedRange sqref="C93 C76:C77 C81:C91 C79" name="Range1_1_1"/>
    <protectedRange sqref="B63 B52:C53 B58 B74:C75 B54 B51 B42:C42 B55:C57 B59:C62 B49:C50" name="Range1_6_2"/>
    <protectedRange sqref="C63" name="Range1_1_3_2"/>
    <protectedRange sqref="C58" name="Range1_1_3_3"/>
    <protectedRange sqref="C54" name="Range1_1_3_10"/>
    <protectedRange sqref="C80" name="Range1_1_3_13"/>
    <protectedRange sqref="C17" name="Range1_1_3_14"/>
    <protectedRange sqref="C18:C20" name="Range1_1_3"/>
    <protectedRange sqref="C51" name="Range1_1_3_1"/>
    <protectedRange sqref="G39" name="Range1_3_7"/>
    <protectedRange sqref="C39" name="Range1_1_3_5"/>
    <protectedRange sqref="C38" name="Range1_1_3_6"/>
    <protectedRange sqref="C78" name="Range1_1_3_4"/>
  </protectedRanges>
  <mergeCells count="22">
    <mergeCell ref="I107:K107"/>
    <mergeCell ref="I112:K112"/>
    <mergeCell ref="C100:F100"/>
    <mergeCell ref="G6:K6"/>
    <mergeCell ref="I106:K106"/>
    <mergeCell ref="C99:F99"/>
    <mergeCell ref="B101:K102"/>
    <mergeCell ref="H105:K105"/>
    <mergeCell ref="H11:K11"/>
    <mergeCell ref="H12:H13"/>
    <mergeCell ref="J12:J13"/>
    <mergeCell ref="K12:K13"/>
    <mergeCell ref="O3:P4"/>
    <mergeCell ref="B4:K4"/>
    <mergeCell ref="C98:F98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 C17:C21 C63">
    <cfRule type="cellIs" dxfId="12" priority="496" operator="equal">
      <formula>0</formula>
    </cfRule>
  </conditionalFormatting>
  <conditionalFormatting sqref="C38:C39">
    <cfRule type="cellIs" dxfId="11" priority="14" operator="equal">
      <formula>0</formula>
    </cfRule>
  </conditionalFormatting>
  <conditionalFormatting sqref="C41">
    <cfRule type="cellIs" dxfId="10" priority="121" operator="equal">
      <formula>0</formula>
    </cfRule>
  </conditionalFormatting>
  <conditionalFormatting sqref="C45">
    <cfRule type="cellIs" dxfId="9" priority="5" operator="equal">
      <formula>0</formula>
    </cfRule>
  </conditionalFormatting>
  <conditionalFormatting sqref="C47">
    <cfRule type="cellIs" dxfId="8" priority="6" operator="equal">
      <formula>0</formula>
    </cfRule>
  </conditionalFormatting>
  <conditionalFormatting sqref="C78">
    <cfRule type="cellIs" dxfId="7" priority="1" operator="equal">
      <formula>0</formula>
    </cfRule>
  </conditionalFormatting>
  <conditionalFormatting sqref="C89">
    <cfRule type="cellIs" dxfId="6" priority="12" operator="equal">
      <formula>0</formula>
    </cfRule>
  </conditionalFormatting>
  <conditionalFormatting sqref="C92">
    <cfRule type="cellIs" dxfId="5" priority="119" operator="equal">
      <formula>0</formula>
    </cfRule>
  </conditionalFormatting>
  <conditionalFormatting sqref="D39:G39">
    <cfRule type="cellIs" dxfId="4" priority="22" operator="equal">
      <formula>0</formula>
    </cfRule>
  </conditionalFormatting>
  <conditionalFormatting sqref="E1:E3 G1:G13 E5:E13 H12:I12 O13 S14:V21 H39:K39 E40:K49 E50:E62 G50:K62 E95:G95 H95:K97 E96:H96 E97:F97 E14:K38">
    <cfRule type="cellIs" dxfId="3" priority="1076" stopIfTrue="1" operator="equal">
      <formula>0</formula>
    </cfRule>
  </conditionalFormatting>
  <conditionalFormatting sqref="E63:K94">
    <cfRule type="cellIs" dxfId="2" priority="9" stopIfTrue="1" operator="equal">
      <formula>0</formula>
    </cfRule>
  </conditionalFormatting>
  <conditionalFormatting sqref="F51:F62">
    <cfRule type="cellIs" dxfId="1" priority="13" stopIfTrue="1" operator="equal">
      <formula>0</formula>
    </cfRule>
  </conditionalFormatting>
  <conditionalFormatting sqref="G96:G65562 E101:E65562">
    <cfRule type="cellIs" dxfId="0" priority="210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C52:C54 C59:C62 F51:F74 F40:F49 H14:K97 F23:F3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39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E19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9" t="s">
        <v>1439</v>
      </c>
      <c r="X2" s="650"/>
      <c r="Y2" s="650"/>
      <c r="Z2" s="650"/>
      <c r="AA2" s="650"/>
      <c r="AB2" s="650"/>
      <c r="AC2" s="650"/>
      <c r="AD2" s="651"/>
    </row>
    <row r="3" spans="3:30">
      <c r="C3" s="238"/>
      <c r="W3" s="652"/>
      <c r="X3" s="653"/>
      <c r="Y3" s="653"/>
      <c r="Z3" s="653"/>
      <c r="AA3" s="653"/>
      <c r="AB3" s="653"/>
      <c r="AC3" s="653"/>
      <c r="AD3" s="654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5" t="s">
        <v>990</v>
      </c>
      <c r="Y5" s="655"/>
      <c r="Z5" s="655"/>
      <c r="AA5" s="655" t="s">
        <v>988</v>
      </c>
      <c r="AB5" s="655"/>
      <c r="AC5" s="655" t="s">
        <v>989</v>
      </c>
      <c r="AD5" s="656"/>
    </row>
    <row r="6" spans="3:30">
      <c r="C6" s="238"/>
      <c r="W6" s="241">
        <v>1</v>
      </c>
      <c r="X6" s="655" t="s">
        <v>993</v>
      </c>
      <c r="Y6" s="655"/>
      <c r="Z6" s="655"/>
      <c r="AA6" s="655"/>
      <c r="AB6" s="655"/>
      <c r="AC6" s="655"/>
      <c r="AD6" s="656"/>
    </row>
    <row r="7" spans="3:30">
      <c r="C7" s="238"/>
      <c r="E7" s="490" t="str">
        <f>PETA!C6</f>
        <v>KOORDINAT : -6.872212, 110.568884</v>
      </c>
      <c r="W7" s="241">
        <v>2</v>
      </c>
      <c r="X7" s="655" t="s">
        <v>994</v>
      </c>
      <c r="Y7" s="655"/>
      <c r="Z7" s="655"/>
      <c r="AA7" s="655"/>
      <c r="AB7" s="655"/>
      <c r="AC7" s="655"/>
      <c r="AD7" s="656"/>
    </row>
    <row r="8" spans="3:30">
      <c r="C8" s="238"/>
      <c r="W8" s="241">
        <v>3</v>
      </c>
      <c r="X8" s="655" t="s">
        <v>995</v>
      </c>
      <c r="Y8" s="655"/>
      <c r="Z8" s="655"/>
      <c r="AA8" s="655"/>
      <c r="AB8" s="655"/>
      <c r="AC8" s="655"/>
      <c r="AD8" s="656"/>
    </row>
    <row r="9" spans="3:30">
      <c r="C9" s="238"/>
      <c r="W9" s="241">
        <v>4</v>
      </c>
      <c r="X9" s="655" t="s">
        <v>996</v>
      </c>
      <c r="Y9" s="655"/>
      <c r="Z9" s="655"/>
      <c r="AA9" s="655"/>
      <c r="AB9" s="655"/>
      <c r="AC9" s="655"/>
      <c r="AD9" s="656"/>
    </row>
    <row r="10" spans="3:30">
      <c r="C10" s="238"/>
      <c r="W10" s="241">
        <v>5</v>
      </c>
      <c r="X10" s="655" t="s">
        <v>997</v>
      </c>
      <c r="Y10" s="655"/>
      <c r="Z10" s="655"/>
      <c r="AA10" s="655"/>
      <c r="AB10" s="655"/>
      <c r="AC10" s="655"/>
      <c r="AD10" s="656"/>
    </row>
    <row r="11" spans="3:30">
      <c r="C11" s="238"/>
      <c r="W11" s="241">
        <v>6</v>
      </c>
      <c r="X11" s="655" t="s">
        <v>998</v>
      </c>
      <c r="Y11" s="655"/>
      <c r="Z11" s="655"/>
      <c r="AA11" s="655"/>
      <c r="AB11" s="655"/>
      <c r="AC11" s="655"/>
      <c r="AD11" s="656"/>
    </row>
    <row r="12" spans="3:30">
      <c r="C12" s="238"/>
      <c r="W12" s="241">
        <v>7</v>
      </c>
      <c r="X12" s="655" t="s">
        <v>999</v>
      </c>
      <c r="Y12" s="655"/>
      <c r="Z12" s="655"/>
      <c r="AA12" s="655"/>
      <c r="AB12" s="655"/>
      <c r="AC12" s="655"/>
      <c r="AD12" s="656"/>
    </row>
    <row r="13" spans="3:30" ht="12.75" customHeight="1">
      <c r="C13" s="238"/>
      <c r="W13" s="241">
        <v>8</v>
      </c>
      <c r="X13" s="655" t="s">
        <v>1000</v>
      </c>
      <c r="Y13" s="655"/>
      <c r="Z13" s="655"/>
      <c r="AA13" s="655"/>
      <c r="AB13" s="655"/>
      <c r="AC13" s="655"/>
      <c r="AD13" s="656"/>
    </row>
    <row r="14" spans="3:30">
      <c r="C14" s="238"/>
      <c r="W14" s="241">
        <v>9</v>
      </c>
      <c r="X14" s="655" t="s">
        <v>1001</v>
      </c>
      <c r="Y14" s="655"/>
      <c r="Z14" s="655"/>
      <c r="AA14" s="655"/>
      <c r="AB14" s="655"/>
      <c r="AC14" s="655"/>
      <c r="AD14" s="656"/>
    </row>
    <row r="15" spans="3:30">
      <c r="C15" s="238"/>
      <c r="W15" s="241">
        <v>10</v>
      </c>
      <c r="X15" s="655" t="s">
        <v>1010</v>
      </c>
      <c r="Y15" s="655"/>
      <c r="Z15" s="655"/>
      <c r="AA15" s="655"/>
      <c r="AB15" s="655"/>
      <c r="AC15" s="655"/>
      <c r="AD15" s="656"/>
    </row>
    <row r="16" spans="3:30">
      <c r="C16" s="238"/>
      <c r="W16" s="241">
        <v>11</v>
      </c>
      <c r="X16" s="655" t="s">
        <v>1455</v>
      </c>
      <c r="Y16" s="655"/>
      <c r="Z16" s="655"/>
      <c r="AA16" s="655"/>
      <c r="AB16" s="655"/>
      <c r="AC16" s="655"/>
      <c r="AD16" s="656"/>
    </row>
    <row r="17" spans="3:30">
      <c r="C17" s="238"/>
      <c r="S17" s="242"/>
      <c r="W17" s="241">
        <v>12</v>
      </c>
      <c r="X17" s="655" t="s">
        <v>1011</v>
      </c>
      <c r="Y17" s="655"/>
      <c r="Z17" s="655"/>
      <c r="AA17" s="655"/>
      <c r="AB17" s="655"/>
      <c r="AC17" s="655"/>
      <c r="AD17" s="656"/>
    </row>
    <row r="18" spans="3:30">
      <c r="C18" s="243"/>
      <c r="D18" s="244"/>
      <c r="E18" s="244"/>
      <c r="W18" s="241">
        <v>13</v>
      </c>
      <c r="X18" s="655"/>
      <c r="Y18" s="655"/>
      <c r="Z18" s="655"/>
      <c r="AA18" s="655"/>
      <c r="AB18" s="655"/>
      <c r="AC18" s="655"/>
      <c r="AD18" s="656"/>
    </row>
    <row r="19" spans="3:30">
      <c r="C19" s="238"/>
      <c r="W19" s="245"/>
      <c r="X19" s="672"/>
      <c r="Y19" s="672"/>
      <c r="Z19" s="672"/>
      <c r="AA19" s="672"/>
      <c r="AB19" s="672"/>
      <c r="AC19" s="672"/>
      <c r="AD19" s="673"/>
    </row>
    <row r="20" spans="3:30">
      <c r="C20" s="238"/>
      <c r="W20" s="657" t="s">
        <v>992</v>
      </c>
      <c r="X20" s="658"/>
      <c r="Y20" s="658"/>
      <c r="Z20" s="658"/>
      <c r="AA20" s="658"/>
      <c r="AB20" s="658"/>
      <c r="AC20" s="658"/>
      <c r="AD20" s="659"/>
    </row>
    <row r="21" spans="3:30">
      <c r="C21" s="238"/>
      <c r="W21" s="660" t="s">
        <v>985</v>
      </c>
      <c r="X21" s="661"/>
      <c r="Y21" s="661"/>
      <c r="Z21" s="662"/>
      <c r="AA21" s="663" t="s">
        <v>986</v>
      </c>
      <c r="AB21" s="664"/>
      <c r="AC21" s="664"/>
      <c r="AD21" s="665"/>
    </row>
    <row r="22" spans="3:30">
      <c r="C22" s="238"/>
      <c r="W22" s="666" t="s">
        <v>1626</v>
      </c>
      <c r="X22" s="667"/>
      <c r="Y22" s="492">
        <v>3</v>
      </c>
      <c r="Z22" s="493"/>
      <c r="AA22" s="668"/>
      <c r="AB22" s="669"/>
      <c r="AC22" s="248"/>
      <c r="AD22" s="249"/>
    </row>
    <row r="23" spans="3:30">
      <c r="C23" s="238"/>
      <c r="W23" s="666"/>
      <c r="X23" s="667"/>
      <c r="Y23" s="492"/>
      <c r="Z23" s="493"/>
      <c r="AA23" s="670"/>
      <c r="AB23" s="671"/>
      <c r="AC23" s="248"/>
      <c r="AD23" s="249"/>
    </row>
    <row r="24" spans="3:30">
      <c r="C24" s="238"/>
      <c r="W24" s="676" t="s">
        <v>1627</v>
      </c>
      <c r="X24" s="677"/>
      <c r="Y24" s="246">
        <v>1</v>
      </c>
      <c r="Z24" s="247"/>
      <c r="AA24" s="678"/>
      <c r="AB24" s="679"/>
      <c r="AC24" s="248"/>
      <c r="AD24" s="249"/>
    </row>
    <row r="25" spans="3:30">
      <c r="C25" s="238"/>
      <c r="W25" s="676" t="s">
        <v>1613</v>
      </c>
      <c r="X25" s="677"/>
      <c r="Y25" s="246">
        <v>2</v>
      </c>
      <c r="Z25" s="247"/>
      <c r="AA25" s="670"/>
      <c r="AB25" s="671"/>
      <c r="AC25" s="248"/>
      <c r="AD25" s="249"/>
    </row>
    <row r="26" spans="3:30">
      <c r="C26" s="238"/>
      <c r="W26" s="480" t="s">
        <v>1625</v>
      </c>
      <c r="X26" s="481"/>
      <c r="Y26" s="246">
        <v>3</v>
      </c>
      <c r="Z26" s="247"/>
      <c r="AA26" s="670"/>
      <c r="AB26" s="671"/>
      <c r="AC26" s="248"/>
      <c r="AD26" s="249"/>
    </row>
    <row r="27" spans="3:30">
      <c r="C27" s="238"/>
      <c r="W27" s="480" t="s">
        <v>1617</v>
      </c>
      <c r="X27" s="481"/>
      <c r="Y27" s="246">
        <v>2</v>
      </c>
      <c r="Z27" s="247"/>
      <c r="AA27" s="674"/>
      <c r="AB27" s="675"/>
      <c r="AC27" s="248"/>
      <c r="AD27" s="249"/>
    </row>
    <row r="28" spans="3:30">
      <c r="C28" s="238"/>
      <c r="W28" s="480"/>
      <c r="X28" s="481"/>
      <c r="Y28" s="246"/>
      <c r="Z28" s="247"/>
      <c r="AA28" s="674"/>
      <c r="AB28" s="675"/>
      <c r="AC28" s="248"/>
      <c r="AD28" s="249"/>
    </row>
    <row r="29" spans="3:30">
      <c r="C29" s="238"/>
      <c r="W29" s="480"/>
      <c r="X29" s="481"/>
      <c r="Y29" s="246"/>
      <c r="Z29" s="247"/>
      <c r="AA29" s="674"/>
      <c r="AB29" s="675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4"/>
      <c r="AB30" s="675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4"/>
      <c r="AB31" s="675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4"/>
      <c r="AB32" s="675"/>
      <c r="AC32" s="248"/>
      <c r="AD32" s="249"/>
    </row>
    <row r="33" spans="3:30">
      <c r="C33" s="238"/>
      <c r="W33" s="480"/>
      <c r="X33" s="481"/>
      <c r="Y33" s="246"/>
      <c r="Z33" s="247"/>
      <c r="AA33" s="674"/>
      <c r="AB33" s="675"/>
      <c r="AC33" s="248"/>
      <c r="AD33" s="249"/>
    </row>
    <row r="34" spans="3:30">
      <c r="C34" s="238"/>
      <c r="W34" s="480"/>
      <c r="X34" s="481"/>
      <c r="Y34" s="246"/>
      <c r="Z34" s="247"/>
      <c r="AA34" s="674"/>
      <c r="AB34" s="675"/>
      <c r="AC34" s="248"/>
      <c r="AD34" s="249"/>
    </row>
    <row r="35" spans="3:30">
      <c r="C35" s="238"/>
      <c r="W35" s="676"/>
      <c r="X35" s="689"/>
      <c r="Y35" s="246"/>
      <c r="Z35" s="247"/>
      <c r="AA35" s="674"/>
      <c r="AB35" s="675"/>
      <c r="AC35" s="248"/>
      <c r="AD35" s="249"/>
    </row>
    <row r="36" spans="3:30">
      <c r="C36" s="238"/>
      <c r="W36" s="680"/>
      <c r="X36" s="681"/>
      <c r="Y36" s="246"/>
      <c r="Z36" s="251"/>
      <c r="AA36" s="682"/>
      <c r="AB36" s="675"/>
      <c r="AC36" s="248"/>
      <c r="AD36" s="249"/>
    </row>
    <row r="37" spans="3:30" ht="12.75" customHeight="1">
      <c r="C37" s="238"/>
      <c r="W37" s="683"/>
      <c r="X37" s="684"/>
      <c r="Y37" s="246"/>
      <c r="Z37" s="251"/>
      <c r="AA37" s="685"/>
      <c r="AB37" s="686"/>
      <c r="AC37" s="252"/>
      <c r="AD37" s="253"/>
    </row>
    <row r="38" spans="3:30" ht="12.75" customHeight="1">
      <c r="C38" s="238"/>
      <c r="W38" s="683"/>
      <c r="X38" s="684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21" t="s">
        <v>1630</v>
      </c>
      <c r="W39" s="683"/>
      <c r="X39" s="684"/>
      <c r="Y39" s="254"/>
      <c r="Z39" s="257"/>
      <c r="AA39" s="687"/>
      <c r="AB39" s="688"/>
      <c r="AC39" s="252"/>
      <c r="AD39" s="253"/>
    </row>
    <row r="40" spans="3:30" ht="12" customHeight="1">
      <c r="C40" s="238"/>
      <c r="D40" s="521" t="s">
        <v>1631</v>
      </c>
      <c r="W40" s="693"/>
      <c r="X40" s="694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21" t="s">
        <v>1632</v>
      </c>
      <c r="W41" s="695"/>
      <c r="X41" s="696"/>
      <c r="Y41" s="260"/>
      <c r="Z41" s="261"/>
      <c r="AA41" s="687"/>
      <c r="AB41" s="688"/>
      <c r="AC41" s="252"/>
      <c r="AD41" s="253"/>
    </row>
    <row r="42" spans="3:30" ht="12" customHeight="1">
      <c r="C42" s="238"/>
      <c r="D42" s="521" t="s">
        <v>1633</v>
      </c>
      <c r="W42" s="697" t="s">
        <v>1456</v>
      </c>
      <c r="X42" s="698"/>
      <c r="Y42" s="698"/>
      <c r="Z42" s="698"/>
      <c r="AA42" s="262"/>
      <c r="AB42" s="262"/>
      <c r="AC42" s="262"/>
      <c r="AD42" s="263"/>
    </row>
    <row r="43" spans="3:30" ht="12" customHeight="1">
      <c r="C43" s="238"/>
      <c r="D43" s="521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21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0" t="s">
        <v>11</v>
      </c>
      <c r="X44" s="691"/>
      <c r="Y44" s="655"/>
      <c r="Z44" s="655"/>
      <c r="AA44" s="655"/>
      <c r="AB44" s="655"/>
      <c r="AC44" s="655"/>
      <c r="AD44" s="656"/>
    </row>
    <row r="45" spans="3:30">
      <c r="C45" s="268"/>
      <c r="D45" s="521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0" t="s">
        <v>984</v>
      </c>
      <c r="X45" s="691"/>
      <c r="Y45" s="655">
        <v>1</v>
      </c>
      <c r="Z45" s="655"/>
      <c r="AA45" s="655"/>
      <c r="AB45" s="655" t="s">
        <v>12</v>
      </c>
      <c r="AC45" s="655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0" t="s">
        <v>15</v>
      </c>
      <c r="X46" s="691"/>
      <c r="Y46" s="692"/>
      <c r="Z46" s="692"/>
      <c r="AA46" s="692"/>
      <c r="AB46" s="655" t="s">
        <v>16</v>
      </c>
      <c r="AC46" s="655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3" t="s">
        <v>17</v>
      </c>
      <c r="X47" s="703"/>
      <c r="Y47" s="703"/>
      <c r="Z47" s="703"/>
      <c r="AA47" s="703"/>
      <c r="AB47" s="703"/>
      <c r="AC47" s="703"/>
      <c r="AD47" s="704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5" t="str">
        <f>RAB!G6</f>
        <v>IOH-14DMK0153-KARANGREJO-BONANG</v>
      </c>
      <c r="X48" s="705"/>
      <c r="Y48" s="705"/>
      <c r="Z48" s="705"/>
      <c r="AA48" s="705"/>
      <c r="AB48" s="705"/>
      <c r="AC48" s="705"/>
      <c r="AD48" s="70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5"/>
      <c r="X49" s="705"/>
      <c r="Y49" s="705"/>
      <c r="Z49" s="705"/>
      <c r="AA49" s="705"/>
      <c r="AB49" s="705"/>
      <c r="AC49" s="705"/>
      <c r="AD49" s="706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5"/>
      <c r="X50" s="705"/>
      <c r="Y50" s="705"/>
      <c r="Z50" s="705"/>
      <c r="AA50" s="705"/>
      <c r="AB50" s="705"/>
      <c r="AC50" s="705"/>
      <c r="AD50" s="706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7"/>
      <c r="X51" s="707"/>
      <c r="Y51" s="707"/>
      <c r="Z51" s="707"/>
      <c r="AA51" s="707"/>
      <c r="AB51" s="707"/>
      <c r="AC51" s="707"/>
      <c r="AD51" s="70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0" t="s">
        <v>18</v>
      </c>
      <c r="X52" s="691"/>
      <c r="Y52" s="655" t="s">
        <v>1638</v>
      </c>
      <c r="Z52" s="655"/>
      <c r="AA52" s="655"/>
      <c r="AB52" s="655"/>
      <c r="AC52" s="655"/>
      <c r="AD52" s="656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0" t="s">
        <v>19</v>
      </c>
      <c r="X53" s="691"/>
      <c r="Y53" s="655" t="s">
        <v>1639</v>
      </c>
      <c r="Z53" s="655"/>
      <c r="AA53" s="655"/>
      <c r="AB53" s="655"/>
      <c r="AC53" s="655"/>
      <c r="AD53" s="656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0" t="s">
        <v>20</v>
      </c>
      <c r="X54" s="691"/>
      <c r="Y54" s="699" t="s">
        <v>1640</v>
      </c>
      <c r="Z54" s="699"/>
      <c r="AA54" s="699"/>
      <c r="AB54" s="655"/>
      <c r="AC54" s="655"/>
      <c r="AD54" s="656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0" t="s">
        <v>21</v>
      </c>
      <c r="X55" s="701"/>
      <c r="Y55" s="699" t="s">
        <v>1641</v>
      </c>
      <c r="Z55" s="699"/>
      <c r="AA55" s="699"/>
      <c r="AB55" s="699"/>
      <c r="AC55" s="699"/>
      <c r="AD55" s="702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Y49" sqref="Y4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9" t="s">
        <v>1528</v>
      </c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1"/>
      <c r="AD4" s="217"/>
      <c r="AE4" s="216"/>
      <c r="AF4" s="216"/>
    </row>
    <row r="5" spans="2:32" ht="13.5" customHeight="1">
      <c r="B5" s="215"/>
      <c r="C5" s="215"/>
      <c r="D5" s="712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4"/>
      <c r="AD5" s="217"/>
      <c r="AE5" s="216"/>
      <c r="AF5" s="216"/>
    </row>
    <row r="6" spans="2:32" ht="12.75" customHeight="1">
      <c r="B6" s="215"/>
      <c r="C6" s="215"/>
      <c r="D6" s="712"/>
      <c r="E6" s="713"/>
      <c r="F6" s="713"/>
      <c r="G6" s="713"/>
      <c r="H6" s="713"/>
      <c r="I6" s="713"/>
      <c r="J6" s="713"/>
      <c r="K6" s="713"/>
      <c r="L6" s="713"/>
      <c r="M6" s="713"/>
      <c r="N6" s="713"/>
      <c r="O6" s="713"/>
      <c r="P6" s="713"/>
      <c r="Q6" s="713"/>
      <c r="R6" s="713"/>
      <c r="S6" s="713"/>
      <c r="T6" s="713"/>
      <c r="U6" s="713"/>
      <c r="V6" s="713"/>
      <c r="W6" s="713"/>
      <c r="X6" s="713"/>
      <c r="Y6" s="713"/>
      <c r="Z6" s="713"/>
      <c r="AA6" s="713"/>
      <c r="AB6" s="713"/>
      <c r="AC6" s="714"/>
      <c r="AE6" s="216"/>
      <c r="AF6" s="216"/>
    </row>
    <row r="7" spans="2:32" ht="12.75" customHeight="1" thickBot="1">
      <c r="B7" s="215"/>
      <c r="C7" s="215"/>
      <c r="D7" s="715"/>
      <c r="E7" s="716"/>
      <c r="F7" s="716"/>
      <c r="G7" s="716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M20" sqref="M20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3" t="s">
        <v>1527</v>
      </c>
      <c r="D3" s="713"/>
      <c r="E3" s="713"/>
      <c r="F3" s="713"/>
      <c r="G3" s="713"/>
      <c r="H3" s="713"/>
      <c r="I3" s="713"/>
      <c r="J3" s="713"/>
      <c r="K3" s="713"/>
      <c r="L3" s="713"/>
      <c r="M3" s="713"/>
      <c r="N3" s="713"/>
      <c r="O3" s="713"/>
      <c r="P3" s="713"/>
      <c r="Q3" s="713"/>
      <c r="R3" s="713"/>
      <c r="S3" s="713"/>
      <c r="T3" s="713"/>
      <c r="U3" s="713"/>
      <c r="V3" s="713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3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8" t="s">
        <v>1629</v>
      </c>
      <c r="D6" s="718"/>
      <c r="E6" s="718"/>
      <c r="F6" s="718"/>
      <c r="G6" s="718"/>
      <c r="H6" s="718"/>
      <c r="I6" s="718"/>
      <c r="J6" s="718"/>
      <c r="K6" s="718"/>
      <c r="L6" s="718"/>
      <c r="M6" s="718"/>
      <c r="W6" s="182"/>
      <c r="Y6" s="428"/>
      <c r="Z6" s="428"/>
      <c r="AA6" s="428"/>
      <c r="AB6" s="429"/>
      <c r="AC6" s="429"/>
    </row>
    <row r="7" spans="1:29" ht="18" customHeight="1">
      <c r="A7" s="181"/>
      <c r="C7" s="718"/>
      <c r="D7" s="718"/>
      <c r="E7" s="718"/>
      <c r="F7" s="718"/>
      <c r="G7" s="718"/>
      <c r="H7" s="718"/>
      <c r="I7" s="718"/>
      <c r="J7" s="718"/>
      <c r="K7" s="718"/>
      <c r="L7" s="718"/>
      <c r="M7" s="718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2024-02-21T12:58:01Z</dcterms:modified>
</cp:coreProperties>
</file>