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P\PBPD\MOM\3. BP KURANG DR INVESTASI (PP LBH DR 5 TH)\BTS IOH WEDING\"/>
    </mc:Choice>
  </mc:AlternateContent>
  <xr:revisionPtr revIDLastSave="0" documentId="13_ncr:1_{6B6D15F4-9D69-4B2F-A834-3598747E9A0A}" xr6:coauthVersionLast="47" xr6:coauthVersionMax="47" xr10:uidLastSave="{00000000-0000-0000-0000-000000000000}"/>
  <bookViews>
    <workbookView xWindow="-120" yWindow="-120" windowWidth="27240" windowHeight="1584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RAB!$A$1:$K$133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32" i="11" l="1"/>
  <c r="F31" i="11"/>
  <c r="F30" i="11"/>
  <c r="F29" i="11"/>
  <c r="F28" i="11"/>
  <c r="F27" i="11"/>
  <c r="F26" i="11"/>
  <c r="F25" i="11"/>
  <c r="F24" i="11"/>
  <c r="D20" i="11"/>
  <c r="H20" i="11" s="1"/>
  <c r="E20" i="11"/>
  <c r="G20" i="11"/>
  <c r="D22" i="11"/>
  <c r="J22" i="11" s="1"/>
  <c r="E22" i="11"/>
  <c r="G22" i="11"/>
  <c r="D23" i="11"/>
  <c r="J23" i="11" s="1"/>
  <c r="E23" i="11"/>
  <c r="G23" i="11"/>
  <c r="D24" i="1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H24" i="11" l="1"/>
  <c r="J28" i="11"/>
  <c r="J32" i="11"/>
  <c r="J30" i="11"/>
  <c r="I28" i="11"/>
  <c r="I27" i="11"/>
  <c r="J26" i="11"/>
  <c r="J25" i="11"/>
  <c r="I30" i="11"/>
  <c r="I20" i="11"/>
  <c r="J20" i="11"/>
  <c r="I22" i="11"/>
  <c r="I32" i="11"/>
  <c r="I31" i="11"/>
  <c r="I26" i="11"/>
  <c r="K26" i="11" s="1"/>
  <c r="H22" i="11"/>
  <c r="J33" i="11"/>
  <c r="J29" i="11"/>
  <c r="I25" i="11"/>
  <c r="J24" i="11"/>
  <c r="I23" i="11"/>
  <c r="I33" i="11"/>
  <c r="I24" i="11"/>
  <c r="H31" i="11"/>
  <c r="H27" i="11"/>
  <c r="H23" i="11"/>
  <c r="I29" i="11"/>
  <c r="K31" i="11" l="1"/>
  <c r="K30" i="11"/>
  <c r="K25" i="11"/>
  <c r="K28" i="11"/>
  <c r="K24" i="11"/>
  <c r="K32" i="11"/>
  <c r="K27" i="11"/>
  <c r="K20" i="11"/>
  <c r="K29" i="11"/>
  <c r="K22" i="11"/>
  <c r="K23" i="11"/>
  <c r="K33" i="11"/>
  <c r="F56" i="11" l="1"/>
  <c r="F18" i="11"/>
  <c r="F46" i="11"/>
  <c r="F45" i="11"/>
  <c r="F44" i="11"/>
  <c r="F43" i="11"/>
  <c r="F42" i="11"/>
  <c r="F39" i="11"/>
  <c r="F38" i="11"/>
  <c r="F37" i="11"/>
  <c r="F36" i="11"/>
  <c r="F35" i="11"/>
  <c r="D34" i="11"/>
  <c r="J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J45" i="11" s="1"/>
  <c r="E45" i="11"/>
  <c r="G45" i="11"/>
  <c r="D46" i="11"/>
  <c r="E46" i="11"/>
  <c r="G46" i="11"/>
  <c r="D47" i="11"/>
  <c r="H47" i="11" s="1"/>
  <c r="E47" i="11"/>
  <c r="G47" i="11"/>
  <c r="G17" i="11"/>
  <c r="G18" i="11"/>
  <c r="D17" i="11"/>
  <c r="H17" i="11" s="1"/>
  <c r="E17" i="11"/>
  <c r="D18" i="11"/>
  <c r="E18" i="11"/>
  <c r="I37" i="11" l="1"/>
  <c r="J35" i="11"/>
  <c r="I35" i="11"/>
  <c r="I41" i="11"/>
  <c r="I45" i="11"/>
  <c r="J39" i="11"/>
  <c r="J47" i="11"/>
  <c r="I47" i="11"/>
  <c r="H45" i="11"/>
  <c r="I44" i="11"/>
  <c r="J43" i="11"/>
  <c r="H41" i="11"/>
  <c r="I40" i="11"/>
  <c r="I43" i="11"/>
  <c r="I39" i="11"/>
  <c r="H37" i="11"/>
  <c r="I36" i="11"/>
  <c r="J46" i="11"/>
  <c r="I46" i="11"/>
  <c r="I42" i="11"/>
  <c r="I38" i="11"/>
  <c r="I34" i="11"/>
  <c r="H46" i="11"/>
  <c r="J44" i="11"/>
  <c r="H42" i="11"/>
  <c r="J40" i="11"/>
  <c r="H38" i="11"/>
  <c r="J36" i="11"/>
  <c r="H34" i="11"/>
  <c r="J18" i="11"/>
  <c r="J17" i="11"/>
  <c r="I18" i="11"/>
  <c r="H18" i="11"/>
  <c r="I17" i="11"/>
  <c r="F66" i="11"/>
  <c r="F65" i="11"/>
  <c r="F64" i="11"/>
  <c r="F63" i="11"/>
  <c r="F62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J65" i="11" s="1"/>
  <c r="E65" i="11"/>
  <c r="G65" i="11"/>
  <c r="D66" i="11"/>
  <c r="E66" i="11"/>
  <c r="G66" i="11"/>
  <c r="D67" i="11"/>
  <c r="H67" i="11" s="1"/>
  <c r="E67" i="11"/>
  <c r="G67" i="11"/>
  <c r="F53" i="11"/>
  <c r="F52" i="11"/>
  <c r="F51" i="11"/>
  <c r="F50" i="11"/>
  <c r="F49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H55" i="11" s="1"/>
  <c r="E55" i="11"/>
  <c r="G55" i="11"/>
  <c r="D48" i="11"/>
  <c r="H48" i="11" s="1"/>
  <c r="E48" i="11"/>
  <c r="G48" i="11"/>
  <c r="D49" i="11"/>
  <c r="J49" i="11" s="1"/>
  <c r="E49" i="11"/>
  <c r="G49" i="11"/>
  <c r="D50" i="11"/>
  <c r="H50" i="11" s="1"/>
  <c r="E50" i="11"/>
  <c r="G50" i="11"/>
  <c r="F99" i="11"/>
  <c r="F98" i="11"/>
  <c r="F97" i="11"/>
  <c r="F96" i="11"/>
  <c r="F108" i="11"/>
  <c r="F107" i="11"/>
  <c r="F106" i="11"/>
  <c r="F105" i="11"/>
  <c r="F104" i="11"/>
  <c r="F103" i="11"/>
  <c r="F102" i="11"/>
  <c r="F80" i="11"/>
  <c r="F79" i="11"/>
  <c r="F78" i="11"/>
  <c r="F77" i="11"/>
  <c r="F76" i="11"/>
  <c r="F75" i="11"/>
  <c r="F74" i="11"/>
  <c r="F73" i="11"/>
  <c r="F72" i="11"/>
  <c r="F71" i="11"/>
  <c r="F69" i="11"/>
  <c r="K35" i="11" l="1"/>
  <c r="K37" i="11"/>
  <c r="K39" i="11"/>
  <c r="K41" i="11"/>
  <c r="K44" i="11"/>
  <c r="K45" i="11"/>
  <c r="K43" i="11"/>
  <c r="K47" i="11"/>
  <c r="K40" i="11"/>
  <c r="K34" i="11"/>
  <c r="K36" i="11"/>
  <c r="K38" i="11"/>
  <c r="K46" i="11"/>
  <c r="K18" i="11"/>
  <c r="K42" i="11"/>
  <c r="K17" i="11"/>
  <c r="H65" i="11"/>
  <c r="I64" i="11"/>
  <c r="J63" i="11"/>
  <c r="J66" i="11"/>
  <c r="I61" i="11"/>
  <c r="I51" i="11"/>
  <c r="I67" i="11"/>
  <c r="I65" i="11"/>
  <c r="I63" i="11"/>
  <c r="H61" i="11"/>
  <c r="I66" i="11"/>
  <c r="I62" i="11"/>
  <c r="J67" i="11"/>
  <c r="H66" i="11"/>
  <c r="J64" i="11"/>
  <c r="H62" i="11"/>
  <c r="K62" i="11" s="1"/>
  <c r="J55" i="11"/>
  <c r="I55" i="11"/>
  <c r="I54" i="11"/>
  <c r="J53" i="11"/>
  <c r="J51" i="11"/>
  <c r="I53" i="11"/>
  <c r="I52" i="11"/>
  <c r="H54" i="11"/>
  <c r="H52" i="11"/>
  <c r="J50" i="11"/>
  <c r="I49" i="11"/>
  <c r="J48" i="11"/>
  <c r="I48" i="11"/>
  <c r="I50" i="11"/>
  <c r="H49" i="11"/>
  <c r="K63" i="11" l="1"/>
  <c r="K61" i="11"/>
  <c r="K65" i="11"/>
  <c r="K64" i="11"/>
  <c r="K51" i="11"/>
  <c r="K66" i="11"/>
  <c r="K54" i="11"/>
  <c r="K67" i="11"/>
  <c r="K55" i="11"/>
  <c r="K53" i="11"/>
  <c r="K52" i="11"/>
  <c r="K49" i="11"/>
  <c r="K48" i="11"/>
  <c r="K50" i="11"/>
  <c r="G100" i="11" l="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D100" i="11"/>
  <c r="H100" i="11" s="1"/>
  <c r="E100" i="11"/>
  <c r="D101" i="11"/>
  <c r="J101" i="11" s="1"/>
  <c r="E101" i="11"/>
  <c r="D102" i="11"/>
  <c r="E102" i="11"/>
  <c r="D103" i="11"/>
  <c r="H103" i="11" s="1"/>
  <c r="E103" i="11"/>
  <c r="D104" i="11"/>
  <c r="H104" i="11" s="1"/>
  <c r="E104" i="11"/>
  <c r="D105" i="11"/>
  <c r="J105" i="11" s="1"/>
  <c r="E105" i="11"/>
  <c r="D106" i="11"/>
  <c r="E106" i="11"/>
  <c r="D107" i="11"/>
  <c r="H107" i="11" s="1"/>
  <c r="E107" i="11"/>
  <c r="D108" i="11"/>
  <c r="H108" i="11" s="1"/>
  <c r="E108" i="11"/>
  <c r="D109" i="11"/>
  <c r="J109" i="11" s="1"/>
  <c r="E109" i="11"/>
  <c r="D110" i="11"/>
  <c r="J110" i="11" s="1"/>
  <c r="E110" i="11"/>
  <c r="D111" i="11"/>
  <c r="I111" i="11" s="1"/>
  <c r="E111" i="11"/>
  <c r="D112" i="11"/>
  <c r="H112" i="11" s="1"/>
  <c r="E112" i="11"/>
  <c r="D58" i="11"/>
  <c r="H58" i="11" s="1"/>
  <c r="E58" i="11"/>
  <c r="G58" i="11"/>
  <c r="D59" i="11"/>
  <c r="J59" i="11" s="1"/>
  <c r="E59" i="11"/>
  <c r="G59" i="11"/>
  <c r="D60" i="11"/>
  <c r="J60" i="11" s="1"/>
  <c r="E60" i="11"/>
  <c r="G60" i="11"/>
  <c r="F57" i="11"/>
  <c r="I106" i="11" l="1"/>
  <c r="I102" i="11"/>
  <c r="I108" i="11"/>
  <c r="J100" i="11"/>
  <c r="H111" i="11"/>
  <c r="J104" i="11"/>
  <c r="H102" i="11"/>
  <c r="I100" i="11"/>
  <c r="J108" i="11"/>
  <c r="H106" i="11"/>
  <c r="I104" i="11"/>
  <c r="I110" i="11"/>
  <c r="I109" i="11"/>
  <c r="I105" i="11"/>
  <c r="I101" i="11"/>
  <c r="J112" i="11"/>
  <c r="H110" i="11"/>
  <c r="H109" i="11"/>
  <c r="J107" i="11"/>
  <c r="H105" i="11"/>
  <c r="J103" i="11"/>
  <c r="H101" i="11"/>
  <c r="I112" i="11"/>
  <c r="J111" i="11"/>
  <c r="I107" i="11"/>
  <c r="J106" i="11"/>
  <c r="I103" i="11"/>
  <c r="J102" i="11"/>
  <c r="I59" i="11"/>
  <c r="H59" i="11"/>
  <c r="I60" i="11"/>
  <c r="H60" i="11"/>
  <c r="J58" i="11"/>
  <c r="I58" i="11"/>
  <c r="K109" i="11" l="1"/>
  <c r="K104" i="11"/>
  <c r="K106" i="11"/>
  <c r="K103" i="11"/>
  <c r="K112" i="11"/>
  <c r="K101" i="11"/>
  <c r="K110" i="11"/>
  <c r="K108" i="11"/>
  <c r="K107" i="11"/>
  <c r="K102" i="11"/>
  <c r="K100" i="11"/>
  <c r="K111" i="11"/>
  <c r="K105" i="11"/>
  <c r="K60" i="11"/>
  <c r="K58" i="11"/>
  <c r="K59" i="11"/>
  <c r="D56" i="11" l="1"/>
  <c r="E56" i="11"/>
  <c r="G56" i="11"/>
  <c r="J57" i="11"/>
  <c r="D94" i="11"/>
  <c r="D95" i="11"/>
  <c r="D96" i="11"/>
  <c r="D97" i="11"/>
  <c r="D98" i="11"/>
  <c r="D99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81" i="11"/>
  <c r="D81" i="11"/>
  <c r="J81" i="11" s="1"/>
  <c r="E81" i="11"/>
  <c r="H56" i="11" l="1"/>
  <c r="I57" i="11"/>
  <c r="J56" i="11"/>
  <c r="I56" i="11"/>
  <c r="H57" i="11"/>
  <c r="J21" i="11"/>
  <c r="I21" i="11"/>
  <c r="I19" i="11"/>
  <c r="H19" i="11"/>
  <c r="I15" i="11"/>
  <c r="H15" i="11"/>
  <c r="I16" i="11"/>
  <c r="H16" i="11"/>
  <c r="I81" i="11"/>
  <c r="H81" i="11"/>
  <c r="K57" i="11" l="1"/>
  <c r="K56" i="11"/>
  <c r="K21" i="11"/>
  <c r="K19" i="11"/>
  <c r="K15" i="11"/>
  <c r="K81" i="11"/>
  <c r="K16" i="11"/>
  <c r="F91" i="11" l="1"/>
  <c r="F90" i="11"/>
  <c r="F89" i="11"/>
  <c r="F88" i="11"/>
  <c r="F87" i="11"/>
  <c r="F86" i="11"/>
  <c r="F85" i="11"/>
  <c r="F84" i="11"/>
  <c r="F83" i="11"/>
  <c r="D82" i="11"/>
  <c r="H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H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H90" i="11" s="1"/>
  <c r="E90" i="11"/>
  <c r="G90" i="11"/>
  <c r="D91" i="11"/>
  <c r="E91" i="11"/>
  <c r="G91" i="11"/>
  <c r="D92" i="11"/>
  <c r="J92" i="11" s="1"/>
  <c r="E92" i="11"/>
  <c r="G92" i="11"/>
  <c r="D68" i="11"/>
  <c r="J68" i="11" s="1"/>
  <c r="E68" i="11"/>
  <c r="G68" i="11"/>
  <c r="D69" i="11"/>
  <c r="I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E73" i="11"/>
  <c r="G73" i="11"/>
  <c r="D74" i="11"/>
  <c r="J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J79" i="11" s="1"/>
  <c r="E79" i="11"/>
  <c r="G79" i="11"/>
  <c r="D80" i="11"/>
  <c r="E80" i="11"/>
  <c r="G80" i="11"/>
  <c r="G6" i="11"/>
  <c r="D93" i="11"/>
  <c r="J93" i="11" s="1"/>
  <c r="E93" i="11"/>
  <c r="G93" i="11"/>
  <c r="H94" i="11"/>
  <c r="E94" i="11"/>
  <c r="G94" i="11"/>
  <c r="E95" i="11"/>
  <c r="G95" i="11"/>
  <c r="J96" i="11"/>
  <c r="E96" i="11"/>
  <c r="G96" i="11"/>
  <c r="J97" i="11"/>
  <c r="E97" i="11"/>
  <c r="G97" i="11"/>
  <c r="E98" i="11"/>
  <c r="G98" i="11"/>
  <c r="H99" i="11"/>
  <c r="E99" i="11"/>
  <c r="G99" i="11"/>
  <c r="D20" i="60"/>
  <c r="I73" i="11" l="1"/>
  <c r="J80" i="11"/>
  <c r="J91" i="11"/>
  <c r="J90" i="11"/>
  <c r="J82" i="11"/>
  <c r="I86" i="11"/>
  <c r="I82" i="11"/>
  <c r="I88" i="11"/>
  <c r="H88" i="11"/>
  <c r="H84" i="11"/>
  <c r="I84" i="11"/>
  <c r="I92" i="11"/>
  <c r="I90" i="11"/>
  <c r="I89" i="11"/>
  <c r="J69" i="11"/>
  <c r="H92" i="11"/>
  <c r="H86" i="11"/>
  <c r="I85" i="11"/>
  <c r="I91" i="11"/>
  <c r="H91" i="11"/>
  <c r="J89" i="11"/>
  <c r="H87" i="11"/>
  <c r="J85" i="11"/>
  <c r="H83" i="11"/>
  <c r="I87" i="11"/>
  <c r="I83" i="11"/>
  <c r="I77" i="11"/>
  <c r="J73" i="11"/>
  <c r="H73" i="11"/>
  <c r="H77" i="11"/>
  <c r="J78" i="11"/>
  <c r="H74" i="11"/>
  <c r="I71" i="11"/>
  <c r="I70" i="11"/>
  <c r="I78" i="11"/>
  <c r="I74" i="11"/>
  <c r="H69" i="11"/>
  <c r="H79" i="11"/>
  <c r="H75" i="11"/>
  <c r="H70" i="11"/>
  <c r="I75" i="11"/>
  <c r="H71" i="11"/>
  <c r="I79" i="11"/>
  <c r="I76" i="11"/>
  <c r="I68" i="11"/>
  <c r="H80" i="11"/>
  <c r="H76" i="11"/>
  <c r="H72" i="11"/>
  <c r="H68" i="11"/>
  <c r="I80" i="11"/>
  <c r="I72" i="11"/>
  <c r="H95" i="11"/>
  <c r="H98" i="11"/>
  <c r="J99" i="11"/>
  <c r="J98" i="11"/>
  <c r="I96" i="11"/>
  <c r="H96" i="11"/>
  <c r="J95" i="11"/>
  <c r="J94" i="11"/>
  <c r="I94" i="11"/>
  <c r="I98" i="11"/>
  <c r="H97" i="11"/>
  <c r="H93" i="11"/>
  <c r="I97" i="11"/>
  <c r="I93" i="11"/>
  <c r="I99" i="11"/>
  <c r="I95" i="11"/>
  <c r="D14" i="11"/>
  <c r="J14" i="11" s="1"/>
  <c r="E14" i="11"/>
  <c r="G14" i="11"/>
  <c r="K19" i="60"/>
  <c r="D19" i="60"/>
  <c r="K71" i="11" l="1"/>
  <c r="K88" i="11"/>
  <c r="K76" i="11"/>
  <c r="K82" i="11"/>
  <c r="K86" i="11"/>
  <c r="K73" i="11"/>
  <c r="K90" i="11"/>
  <c r="K78" i="11"/>
  <c r="K89" i="11"/>
  <c r="K77" i="11"/>
  <c r="K84" i="11"/>
  <c r="K74" i="11"/>
  <c r="K70" i="11"/>
  <c r="K69" i="11"/>
  <c r="K92" i="11"/>
  <c r="K85" i="11"/>
  <c r="K83" i="11"/>
  <c r="K91" i="11"/>
  <c r="K87" i="11"/>
  <c r="K75" i="11"/>
  <c r="K79" i="11"/>
  <c r="K80" i="11"/>
  <c r="K68" i="11"/>
  <c r="K72" i="11"/>
  <c r="K94" i="11"/>
  <c r="K96" i="11"/>
  <c r="K98" i="11"/>
  <c r="K99" i="11"/>
  <c r="K95" i="11"/>
  <c r="K93" i="11"/>
  <c r="K9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1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3" i="11"/>
  <c r="D114" i="11"/>
  <c r="H114" i="11" s="1"/>
  <c r="E11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1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14" i="11"/>
  <c r="I11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1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6" i="11"/>
  <c r="H117" i="11" s="1"/>
  <c r="I116" i="11"/>
  <c r="I11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8" i="11"/>
  <c r="I118" i="11"/>
  <c r="F364" i="29"/>
  <c r="F69" i="39"/>
  <c r="F72" i="39"/>
  <c r="F367" i="29"/>
  <c r="J113" i="11"/>
  <c r="K11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6" i="11" l="1"/>
  <c r="K117" i="11" s="1"/>
  <c r="K118" i="11" s="1"/>
  <c r="B11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6" i="11"/>
  <c r="J11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<sst xmlns="http://schemas.openxmlformats.org/spreadsheetml/2006/main" count="4791" uniqueCount="1649">
  <si>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</si>
  <si>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</si>
  <si>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</si>
  <si>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</si>
  <si>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</si>
  <si>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</si>
  <si>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</si>
  <si>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</si>
  <si>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</si>
  <si>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</si>
  <si>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</si>
  <si>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</si>
  <si>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</si>
  <si>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</si>
  <si>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</si>
  <si>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</si>
  <si>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</si>
  <si>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</si>
  <si>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</si>
  <si>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</si>
  <si>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</si>
  <si>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</si>
  <si>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</si>
  <si>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</si>
  <si>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</si>
  <si>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</si>
  <si>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</si>
  <si>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</si>
  <si>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</si>
  <si>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</si>
  <si>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</si>
  <si>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</si>
  <si>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</si>
  <si>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</si>
  <si>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</si>
  <si>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</si>
  <si>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</si>
  <si>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</si>
  <si>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</si>
  <si>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</si>
  <si>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</si>
  <si>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</si>
  <si>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</si>
  <si>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</si>
  <si>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</si>
  <si>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</si>
  <si>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</si>
  <si>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</si>
  <si>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</si>
  <si>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</si>
  <si>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</si>
  <si>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</si>
  <si>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</si>
  <si>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</si>
  <si>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</si>
  <si>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</si>
  <si>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</si>
  <si>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</si>
  <si>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</si>
  <si>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</si>
  <si>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</si>
  <si>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</si>
  <si>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</si>
  <si>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</si>
  <si>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</si>
  <si>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</si>
  <si>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</si>
  <si>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</si>
  <si>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</si>
  <si>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</si>
  <si>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</si>
  <si>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</si>
  <si>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</si>
  <si>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</si>
  <si>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</si>
  <si>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</si>
  <si>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</si>
  <si>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</si>
  <si>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</si>
  <si>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</si>
  <si>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</si>
  <si>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</si>
  <si>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</si>
  <si>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</si>
  <si>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</si>
  <si>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</si>
  <si>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</si>
  <si>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</si>
  <si>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</si>
  <si>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</si>
  <si>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</si>
  <si>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</si>
  <si>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</si>
  <si>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</si>
  <si>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</si>
  <si>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</si>
  <si>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</si>
  <si>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</si>
  <si>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</si>
  <si>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</si>
  <si>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</si>
  <si>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</si>
  <si>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</si>
  <si>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</si>
  <si>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</si>
  <si>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</si>
  <si>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</si>
  <si>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</si>
  <si>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</si>
  <si>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</si>
  <si>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</si>
  <si>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</si>
  <si>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</si>
  <si>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</si>
  <si>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</si>
  <si>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</si>
  <si>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</si>
  <si>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</si>
  <si>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</si>
  <si>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</si>
  <si>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</si>
  <si>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</si>
  <si>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</si>
  <si>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</si>
  <si>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</si>
  <si>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</si>
  <si>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</si>
  <si>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</si>
  <si>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</si>
  <si>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</si>
  <si>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</si>
  <si>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</si>
  <si>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</si>
  <si>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</si>
  <si>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</si>
  <si>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</si>
  <si>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</si>
  <si>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</si>
  <si>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</si>
  <si>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</si>
  <si>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</si>
  <si>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</si>
  <si>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</si>
  <si>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</si>
  <si>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</si>
  <si>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</si>
  <si>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</si>
  <si>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</si>
  <si>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</si>
  <si>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</si>
  <si>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</si>
  <si>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</si>
  <si>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</si>
  <si>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</si>
  <si>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</si>
  <si>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</si>
  <si>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</si>
  <si>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</si>
  <si>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</si>
  <si>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</si>
  <si>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</si>
  <si>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</si>
  <si>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</si>
  <si>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</si>
  <si>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</si>
  <si>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</si>
  <si>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</si>
  <si>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</si>
  <si>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</si>
  <si>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</si>
  <si>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</si>
  <si>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</si>
  <si>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</si>
  <si>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</si>
  <si>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</si>
  <si>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</si>
  <si>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</si>
  <si>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</si>
  <si>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</si>
  <si>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</si>
  <si>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</si>
  <si>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</si>
  <si>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</si>
  <si>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</si>
  <si>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</si>
  <si>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</si>
  <si>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</si>
  <si>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</si>
  <si>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</si>
  <si>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</si>
  <si>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</si>
  <si>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</si>
  <si>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</si>
  <si>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</si>
  <si>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</si>
  <si>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</si>
  <si>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</si>
  <si>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</si>
  <si>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</si>
  <si>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</si>
  <si>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</si>
  <si>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</si>
  <si>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</si>
  <si>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</si>
  <si>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</si>
  <si>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</si>
  <si>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</si>
  <si>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</si>
  <si>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</si>
  <si>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</si>
  <si>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</si>
  <si>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</si>
  <si>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</si>
  <si>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</si>
  <si>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</si>
  <si>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</si>
  <si>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</si>
  <si>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</si>
  <si>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</si>
  <si>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</si>
  <si>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</si>
  <si>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</si>
  <si>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</si>
  <si>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</si>
  <si>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</si>
  <si>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</si>
  <si>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</si>
  <si>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</si>
  <si>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</si>
  <si>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</si>
  <si>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</si>
  <si>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</si>
  <si>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</si>
  <si>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</si>
  <si>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</si>
  <si>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</si>
  <si>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</si>
  <si>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</si>
  <si>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</si>
  <si>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</si>
  <si>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</si>
  <si>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</si>
  <si>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</si>
  <si>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</si>
  <si>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</si>
  <si>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</si>
  <si>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</si>
  <si>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</si>
  <si>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</si>
  <si>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</si>
  <si>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</si>
  <si>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</si>
  <si>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</si>
  <si>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</si>
  <si>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</si>
  <si>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</si>
  <si>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</si>
  <si>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</si>
  <si>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</si>
  <si>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</si>
  <si>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</si>
  <si>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</si>
  <si>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</si>
  <si>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</si>
  <si>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</si>
  <si>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</si>
  <si>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</si>
  <si>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</si>
  <si>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</si>
  <si>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</si>
  <si>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</si>
  <si>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</si>
  <si>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</si>
  <si>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</si>
  <si>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</si>
  <si>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</si>
  <si>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</si>
  <si>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</si>
  <si>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</si>
  <si>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</si>
  <si>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</si>
  <si>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</si>
  <si>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</si>
  <si>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</si>
  <si>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</si>
  <si>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</si>
  <si>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</si>
  <si>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</si>
  <si>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</si>
  <si>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</si>
  <si>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</si>
  <si>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</si>
  <si>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</si>
  <si>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</si>
  <si>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</si>
  <si>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</si>
  <si>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</si>
  <si>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</si>
  <si>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</si>
  <si>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</si>
  <si>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</si>
  <si>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</si>
  <si>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</si>
  <si>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</si>
  <si>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</si>
  <si>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</si>
  <si>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</si>
  <si>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</si>
  <si>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</si>
  <si>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</si>
  <si>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</si>
  <si>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</si>
  <si>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</si>
  <si>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</si>
  <si>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</si>
  <si>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</si>
  <si>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</si>
  <si>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</si>
  <si>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</si>
  <si>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</si>
  <si>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</si>
  <si>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</si>
  <si>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</si>
  <si>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</si>
  <si>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</si>
  <si>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</si>
  <si>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</si>
  <si>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</si>
  <si>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</si>
  <si>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</si>
  <si>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</si>
  <si>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</si>
  <si>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</si>
  <si>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</si>
  <si>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</si>
  <si>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</si>
  <si>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</si>
  <si>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</si>
  <si>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</si>
  <si>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</si>
  <si>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</si>
  <si>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</si>
  <si>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</si>
  <si>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</si>
  <si>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</si>
  <si>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</si>
  <si>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</si>
  <si>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</si>
  <si>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</si>
  <si>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</si>
  <si>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</si>
  <si>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</si>
  <si>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</si>
  <si>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</si>
  <si>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</si>
  <si>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</si>
  <si>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</si>
  <si>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</si>
  <si>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</si>
  <si>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</si>
  <si>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</si>
  <si>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</si>
  <si>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</si>
  <si>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</si>
  <si>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</si>
  <si>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</si>
  <si>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</si>
  <si>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</si>
  <si>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</si>
  <si>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</si>
  <si>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</si>
  <si>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</si>
  <si>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</si>
  <si>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</si>
  <si>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</si>
  <si>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</si>
  <si>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</si>
  <si>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</si>
  <si>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</si>
  <si>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</si>
  <si>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</si>
  <si>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</si>
  <si>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</si>
  <si>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</si>
  <si>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</si>
  <si>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</si>
  <si>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</si>
  <si>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</si>
  <si>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</si>
  <si>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</si>
  <si>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</si>
  <si>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</si>
  <si>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</si>
  <si>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</si>
  <si>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</si>
  <si>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</si>
  <si>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</si>
  <si>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</si>
  <si>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</si>
  <si>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</si>
  <si>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</si>
  <si>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</si>
  <si>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</si>
  <si>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</si>
  <si>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</si>
  <si>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</si>
  <si>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</si>
  <si>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</si>
  <si>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</si>
  <si>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</si>
  <si>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</si>
  <si>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</si>
  <si>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</si>
  <si>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</si>
  <si>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</si>
  <si>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</si>
  <si>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</si>
  <si>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</si>
  <si>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</si>
  <si>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</si>
  <si>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</si>
  <si>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</si>
  <si>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</si>
  <si>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</si>
  <si>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</si>
  <si>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</si>
  <si>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</si>
  <si>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</si>
  <si>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</si>
  <si>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</si>
  <si>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</si>
  <si>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</si>
  <si>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</si>
  <si>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</si>
  <si>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</si>
  <si>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</si>
  <si>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</si>
  <si>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</si>
  <si>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</si>
  <si>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</si>
  <si>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</si>
  <si>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</si>
  <si>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</si>
  <si>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</si>
  <si>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</si>
  <si>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</si>
  <si>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</si>
  <si>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</si>
  <si>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</si>
  <si>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</si>
  <si>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</si>
  <si>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</si>
  <si>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</si>
  <si>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</si>
  <si>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</si>
  <si>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</si>
  <si>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</si>
  <si>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</si>
  <si>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</si>
  <si>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</si>
  <si>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</si>
  <si>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</si>
  <si>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</si>
  <si>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</si>
  <si>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</si>
  <si>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</si>
  <si>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</si>
  <si>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</si>
  <si>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</si>
  <si>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</si>
  <si>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</si>
  <si>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</si>
  <si>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</si>
  <si>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</si>
  <si>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</si>
  <si>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</si>
  <si>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</si>
  <si>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</si>
  <si>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</si>
  <si>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</si>
  <si>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</si>
  <si>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</si>
  <si>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</si>
  <si>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</si>
  <si>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</si>
  <si>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</si>
  <si>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</si>
  <si>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</si>
  <si>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</si>
  <si>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</si>
  <si>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</si>
  <si>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</si>
  <si>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</si>
  <si>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</si>
  <si>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</si>
  <si>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</si>
  <si>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</si>
  <si>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</si>
  <si>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</si>
  <si>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</si>
  <si>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</si>
  <si>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</si>
  <si>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</si>
  <si>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</si>
  <si>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</si>
  <si>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</si>
  <si>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</si>
  <si>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</si>
  <si>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</si>
  <si>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</si>
  <si>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</si>
  <si>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</si>
  <si>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</si>
  <si>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</si>
  <si>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</si>
  <si>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</si>
  <si>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</si>
  <si>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</si>
  <si>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</si>
  <si>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</si>
  <si>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</si>
  <si>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</si>
  <si>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</si>
  <si>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</si>
  <si>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</si>
  <si>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</si>
  <si>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</si>
  <si>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</si>
  <si>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</si>
  <si>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</si>
  <si>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</si>
  <si>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</si>
  <si>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</si>
  <si>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</si>
  <si>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</si>
  <si>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</si>
  <si>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</si>
  <si>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</si>
  <si>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</si>
  <si>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</si>
  <si>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</si>
  <si>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</si>
  <si>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</si>
  <si>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</si>
  <si>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</si>
  <si>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</si>
  <si>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</si>
  <si>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</si>
  <si>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</si>
  <si>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</si>
  <si>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</si>
  <si>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</si>
  <si>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</si>
  <si>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</si>
  <si>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</si>
  <si>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</si>
  <si>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</si>
  <si>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</si>
  <si>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</si>
  <si>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</si>
  <si>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</si>
  <si>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</si>
  <si>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</si>
  <si>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</si>
  <si>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</si>
  <si>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</si>
  <si>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</si>
  <si>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</si>
  <si>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</si>
  <si>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</si>
  <si>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</si>
  <si>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</si>
  <si>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</si>
  <si>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</si>
  <si>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</si>
  <si>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</si>
  <si>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</si>
  <si>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</si>
  <si>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</si>
  <si>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</si>
  <si>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</si>
  <si>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</si>
  <si>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</si>
  <si>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</si>
  <si>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</si>
  <si>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</si>
  <si>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</si>
  <si>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</si>
  <si>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</si>
  <si>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</si>
  <si>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</si>
  <si>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</si>
  <si>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</si>
  <si>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</si>
  <si>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</si>
  <si>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</si>
  <si>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</si>
  <si>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</si>
  <si>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</si>
  <si>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</si>
  <si>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</si>
  <si>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</si>
  <si>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</si>
  <si>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</si>
  <si>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</si>
  <si>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</si>
  <si>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</si>
  <si>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</si>
  <si>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</si>
  <si>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</si>
  <si>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</si>
  <si>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</si>
  <si>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</si>
  <si>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</si>
  <si>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</si>
  <si>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</si>
  <si>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</si>
  <si>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</si>
  <si>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</si>
  <si>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</si>
  <si>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</si>
  <si>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</si>
  <si>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</si>
  <si>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</si>
  <si>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</si>
  <si>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</si>
  <si>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</si>
  <si>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</si>
  <si>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</si>
  <si>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</si>
  <si>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</si>
  <si>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</si>
  <si>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</si>
  <si>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</si>
  <si>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</si>
  <si>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</si>
  <si>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</si>
  <si>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</si>
  <si>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</si>
  <si>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</si>
  <si>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</si>
  <si>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</si>
  <si>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</si>
  <si>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</si>
  <si>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</si>
  <si>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</si>
  <si>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</si>
  <si>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</si>
  <si>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</si>
  <si>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</si>
  <si>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</si>
  <si>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</si>
  <si>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</si>
  <si>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</si>
  <si>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</si>
  <si>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</si>
  <si>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</si>
  <si>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</si>
  <si>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</si>
  <si>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</si>
  <si>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</si>
  <si>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</si>
  <si>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</si>
  <si>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</si>
  <si>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</si>
  <si>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</si>
  <si>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</si>
  <si>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</si>
  <si>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</si>
  <si>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</si>
  <si>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</si>
  <si>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</si>
  <si>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</si>
  <si>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</si>
  <si>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</si>
  <si>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</si>
  <si>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</si>
  <si>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</si>
  <si>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</si>
  <si>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</si>
  <si>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</si>
  <si>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</si>
  <si>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</si>
  <si>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</si>
  <si>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</si>
  <si>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</si>
  <si>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</si>
  <si>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</si>
  <si>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</si>
  <si>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</si>
  <si>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</si>
  <si>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</si>
  <si>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</si>
  <si>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</si>
  <si>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</si>
  <si>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</si>
  <si>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</si>
  <si>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</si>
  <si>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</si>
  <si>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</si>
  <si>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</si>
  <si>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</si>
  <si>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</si>
  <si>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</si>
  <si>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</si>
  <si>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</si>
  <si>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</si>
  <si>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</si>
  <si>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</si>
  <si>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</si>
  <si>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</si>
  <si>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</si>
  <si>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</si>
  <si>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</si>
  <si>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</si>
  <si>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</si>
  <si>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</si>
  <si>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</si>
  <si>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</si>
  <si>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</si>
  <si>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</si>
  <si>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</si>
  <si>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</si>
  <si>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</si>
  <si>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</si>
  <si>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</si>
  <si>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</si>
  <si>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</si>
  <si>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</si>
  <si>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</si>
  <si>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</si>
  <si>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</si>
  <si>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</si>
  <si>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</si>
  <si>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</si>
  <si>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</si>
  <si>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</si>
  <si>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</si>
  <si>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</si>
  <si>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</si>
  <si>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</si>
  <si>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</si>
  <si>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</si>
  <si>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</si>
  <si>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</si>
  <si>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</si>
  <si>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</si>
  <si>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</si>
  <si>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</si>
  <si>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</si>
  <si>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</si>
  <si>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</si>
  <si>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</si>
  <si>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</si>
  <si>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</si>
  <si>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</si>
  <si>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</si>
  <si>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</si>
  <si>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</si>
  <si>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</si>
  <si>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</si>
  <si>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</si>
  <si>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</si>
  <si>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</si>
  <si>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</si>
  <si>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</si>
  <si>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</si>
  <si>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</si>
  <si>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</si>
  <si>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</si>
  <si>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</si>
  <si>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</si>
  <si>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</si>
  <si>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</si>
  <si>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</si>
  <si>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</si>
  <si>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</si>
  <si>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</si>
  <si>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</si>
  <si>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</si>
  <si>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</si>
  <si>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</si>
  <si>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</si>
  <si>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</si>
  <si>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</si>
  <si>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</si>
  <si>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</si>
  <si>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</si>
  <si>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</si>
  <si>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</si>
  <si>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</si>
  <si>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</si>
  <si>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</si>
  <si>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</si>
  <si>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</si>
  <si>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</si>
  <si>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</si>
  <si>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</si>
  <si>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</si>
  <si>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</si>
  <si>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</si>
  <si>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</si>
  <si>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</si>
  <si>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</si>
  <si>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</si>
  <si>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</si>
  <si>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</si>
  <si>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</si>
  <si>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</si>
  <si>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</si>
  <si>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</si>
  <si>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</si>
  <si>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</si>
  <si>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</si>
  <si>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</si>
  <si>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</si>
  <si>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</si>
  <si>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</si>
  <si>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</si>
  <si>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</si>
  <si>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</si>
  <si>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</si>
  <si>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</si>
  <si>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</si>
  <si>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</si>
  <si>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</si>
  <si>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</si>
  <si>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</si>
  <si>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</si>
  <si>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</si>
  <si>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</si>
  <si>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</si>
  <si>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</si>
  <si>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</si>
  <si>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</si>
  <si>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</si>
  <si>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</si>
  <si>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</si>
  <si>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</si>
  <si>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</si>
  <si>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</si>
  <si>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</si>
  <si>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</si>
  <si>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</si>
  <si>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</si>
  <si>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</si>
  <si>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</si>
  <si>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</si>
  <si>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</si>
  <si>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</si>
  <si>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</si>
  <si>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</si>
  <si>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</si>
  <si>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</si>
  <si>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</si>
  <si>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</si>
  <si>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</si>
  <si>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</si>
  <si>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</si>
  <si>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</si>
  <si>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</si>
  <si>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</si>
  <si>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</si>
  <si>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</si>
  <si>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</si>
  <si>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</si>
  <si>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</si>
  <si>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</si>
  <si>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</si>
  <si>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</si>
  <si>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</si>
  <si>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</si>
  <si>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</si>
  <si>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</si>
  <si>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</si>
  <si>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</si>
  <si>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</si>
  <si>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</si>
  <si>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</si>
  <si>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</si>
  <si>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</si>
  <si>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</si>
  <si>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</si>
  <si>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</si>
  <si>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</si>
  <si>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</si>
  <si>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</si>
  <si>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</si>
  <si>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</si>
  <si>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</si>
  <si>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</si>
  <si>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</si>
  <si>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</si>
  <si>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</si>
  <si>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</si>
  <si>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</si>
  <si>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</si>
  <si>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</si>
  <si>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</si>
  <si>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</si>
  <si>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</si>
  <si>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</si>
  <si>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</si>
  <si>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</si>
  <si>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</si>
  <si>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</si>
  <si>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</si>
  <si>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</si>
  <si>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</si>
  <si>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</si>
  <si>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</si>
  <si>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</si>
  <si>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</si>
  <si>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</si>
  <si>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</si>
  <si>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</si>
  <si>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</si>
  <si>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</si>
  <si>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</si>
  <si>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</si>
  <si>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</si>
  <si>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</si>
  <si>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</si>
  <si>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</si>
  <si>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</si>
  <si>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</si>
  <si>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</si>
  <si>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</si>
  <si>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</si>
  <si>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</si>
  <si>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</si>
  <si>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</si>
  <si>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</si>
  <si>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</si>
  <si>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</si>
  <si>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</si>
  <si>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</si>
  <si>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</si>
  <si>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</si>
  <si>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</si>
  <si>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</si>
  <si>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</si>
  <si>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</si>
  <si>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</si>
  <si>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</si>
  <si>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</si>
  <si>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</si>
  <si>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</si>
  <si>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</si>
  <si>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</si>
  <si>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</si>
  <si>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</si>
  <si>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</si>
  <si>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</si>
  <si>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</si>
  <si>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</si>
  <si>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</si>
  <si>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</si>
  <si>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</si>
  <si>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</si>
  <si>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</si>
  <si>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</si>
  <si>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</si>
  <si>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</si>
  <si>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</si>
  <si>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</si>
  <si>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</si>
  <si>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</si>
  <si>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</si>
  <si>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</si>
  <si>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</si>
  <si>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</si>
  <si>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</si>
  <si>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</si>
  <si>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</si>
  <si>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</si>
  <si>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</si>
  <si>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</si>
  <si>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</si>
  <si>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</si>
  <si>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</si>
  <si>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</si>
  <si>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</si>
  <si>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</si>
  <si>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</si>
  <si>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</si>
  <si>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</si>
  <si>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</si>
  <si>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</si>
  <si>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</si>
  <si>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</si>
  <si>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</si>
  <si>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</si>
  <si>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</si>
  <si>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</si>
  <si>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</si>
  <si>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</si>
  <si>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</si>
  <si>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</si>
  <si>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</si>
  <si>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</si>
  <si>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</si>
  <si>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</si>
  <si>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</si>
  <si>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</si>
  <si>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</si>
  <si>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</si>
  <si>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</si>
  <si>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</si>
  <si>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</si>
  <si>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</si>
  <si>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</si>
  <si>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</si>
  <si>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</si>
  <si>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</si>
  <si>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</si>
  <si>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</si>
  <si>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</si>
  <si>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</si>
  <si>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</si>
  <si>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</si>
  <si>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</si>
  <si>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</si>
  <si>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</si>
  <si>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</si>
  <si>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</si>
  <si>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</si>
  <si>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</si>
  <si>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</si>
  <si>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</si>
  <si>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</si>
  <si>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</si>
  <si>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</si>
  <si>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</si>
  <si>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</si>
  <si>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</si>
  <si>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</si>
  <si>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</si>
  <si>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</si>
  <si>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</si>
  <si>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</si>
  <si>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</si>
  <si>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</si>
  <si>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</si>
  <si>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</si>
  <si>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</si>
  <si>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</si>
  <si>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</si>
  <si>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</si>
  <si>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</si>
  <si>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</si>
  <si>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</si>
  <si>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</si>
  <si>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</si>
  <si>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</si>
  <si>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</si>
  <si>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</si>
  <si>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</si>
  <si>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</si>
  <si>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</si>
  <si>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</si>
  <si>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</si>
  <si>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</si>
  <si>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</si>
  <si>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</si>
  <si>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</si>
  <si>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</si>
  <si>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</si>
  <si>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</si>
  <si>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</si>
  <si>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</si>
  <si>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</si>
  <si>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</si>
  <si>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</si>
  <si>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</si>
  <si>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</si>
  <si>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</si>
  <si>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</si>
  <si>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</si>
  <si>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</si>
  <si>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</si>
  <si>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</si>
  <si>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</si>
  <si>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</si>
  <si>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</si>
  <si>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</si>
  <si>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</si>
  <si>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</si>
  <si>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</si>
  <si>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</si>
  <si>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</si>
  <si>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</si>
  <si>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</si>
  <si>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</si>
  <si>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</si>
  <si>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</si>
  <si>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</si>
  <si>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</si>
  <si>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</si>
  <si>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</si>
  <si>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</si>
  <si>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</si>
  <si>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</si>
  <si>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</si>
  <si>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</si>
  <si>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</si>
  <si>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</si>
  <si>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</si>
  <si>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</si>
  <si>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</si>
  <si>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</si>
  <si>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</si>
  <si>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</si>
  <si>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</si>
  <si>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</si>
  <si>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</si>
  <si>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</si>
  <si>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</si>
  <si>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</si>
  <si>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</si>
  <si>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</si>
  <si>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</si>
  <si>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</si>
  <si>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</si>
  <si>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</si>
  <si>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</si>
  <si>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</si>
  <si>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</si>
  <si>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</si>
  <si>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</si>
  <si>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</si>
  <si>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</si>
  <si>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</si>
  <si>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</si>
  <si>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</si>
  <si>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</si>
  <si>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</si>
  <si>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</si>
  <si>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</si>
  <si>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</si>
  <si>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</si>
  <si>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</si>
  <si>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</si>
  <si>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</si>
  <si>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</si>
  <si>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</si>
  <si>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</si>
  <si>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</si>
  <si>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</si>
  <si>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</si>
  <si>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</si>
  <si>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</si>
  <si>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</si>
  <si>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</si>
  <si>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</si>
  <si>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</si>
  <si>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</si>
  <si>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</si>
  <si>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</si>
  <si>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</si>
  <si>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</si>
  <si>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</si>
  <si>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</si>
  <si>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</si>
  <si>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</si>
  <si>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</si>
  <si>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</si>
  <si>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</si>
  <si>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</si>
  <si>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</si>
  <si>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</si>
  <si>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</si>
  <si>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</si>
  <si>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</si>
  <si>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</si>
  <si>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</si>
  <si>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</si>
  <si>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</si>
  <si>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</si>
  <si>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</si>
  <si>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</si>
  <si>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</si>
  <si>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</si>
  <si>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</si>
  <si>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</si>
  <si>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</si>
  <si>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</si>
  <si>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</si>
  <si>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</si>
  <si>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</si>
  <si>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</si>
  <si>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</si>
  <si>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</si>
  <si>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</si>
  <si>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</si>
  <si>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</si>
  <si>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</si>
  <si>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</si>
  <si>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</si>
  <si>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</si>
  <si>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</si>
  <si>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</si>
  <si>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</si>
  <si>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</si>
  <si>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</si>
  <si>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</si>
  <si>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</si>
  <si>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</si>
  <si>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</si>
  <si>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</si>
  <si>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</si>
  <si>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</si>
  <si>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</si>
  <si>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</si>
  <si>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</si>
  <si>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</si>
  <si>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</si>
  <si>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</si>
  <si>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</si>
  <si>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</si>
  <si>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</si>
  <si>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</si>
  <si>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</si>
  <si>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</si>
  <si>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</si>
  <si>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</si>
  <si>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</si>
  <si>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</si>
  <si>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</si>
  <si>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</si>
  <si>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</si>
  <si>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</si>
  <si>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</si>
  <si>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</si>
  <si>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</si>
  <si>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</si>
  <si>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</si>
  <si>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</si>
  <si>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</si>
  <si>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</si>
  <si>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</si>
  <si>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</si>
  <si>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</si>
  <si>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</si>
  <si>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</si>
  <si>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</si>
  <si>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</si>
  <si>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</si>
  <si>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</si>
  <si>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</si>
  <si>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</si>
  <si>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</si>
  <si>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</si>
  <si>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</si>
  <si>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</si>
  <si>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</si>
  <si>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</si>
  <si>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</si>
  <si>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</si>
  <si>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</si>
  <si>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</si>
  <si>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</si>
  <si>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</si>
  <si>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</si>
  <si>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</si>
  <si>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</si>
  <si>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</si>
  <si>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</si>
  <si>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</si>
  <si>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</si>
  <si>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</si>
  <si>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</si>
  <si>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</si>
  <si>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</si>
  <si>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</si>
  <si>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</si>
  <si>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</si>
  <si>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</si>
  <si>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</si>
  <si>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</si>
  <si>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</si>
  <si>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</si>
  <si>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</si>
  <si>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</si>
  <si>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</si>
  <si>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</si>
  <si>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</si>
  <si>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</si>
  <si>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</si>
  <si>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</si>
  <si>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</si>
  <si>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</si>
  <si>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</si>
  <si>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</si>
  <si>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</si>
  <si>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</si>
  <si>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</si>
  <si>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</si>
  <si>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</si>
  <si>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</si>
  <si>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</si>
  <si>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</si>
  <si>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</si>
  <si>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</si>
  <si>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</si>
  <si>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</si>
  <si>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</si>
  <si>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</si>
  <si>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</si>
  <si>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</si>
  <si>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</si>
  <si>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</si>
  <si>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</si>
  <si>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</si>
  <si>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</si>
  <si>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</si>
  <si>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</si>
  <si>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</si>
  <si>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</si>
  <si>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</si>
  <si>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</si>
  <si>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</si>
  <si>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</si>
  <si>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</si>
  <si>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</si>
  <si>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</si>
  <si>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</si>
  <si>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</si>
  <si>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</si>
  <si>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</si>
  <si>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</si>
  <si>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</si>
  <si>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</si>
  <si>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</si>
  <si>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</si>
  <si>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</si>
  <si>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</si>
  <si>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</si>
  <si>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</si>
  <si>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</si>
  <si>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</si>
  <si>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</si>
  <si>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</si>
  <si>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</si>
  <si>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</si>
  <si>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</si>
  <si>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</si>
  <si>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</si>
  <si>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</si>
  <si>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</si>
  <si>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</si>
  <si>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</si>
  <si>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</si>
  <si>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</si>
  <si>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</si>
  <si>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</si>
  <si>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</si>
  <si>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</si>
  <si>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</si>
  <si>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</si>
  <si>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</si>
  <si>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</si>
  <si>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</si>
  <si>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</si>
  <si>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</si>
  <si>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</si>
  <si>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</si>
  <si>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</si>
  <si>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</si>
  <si>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</si>
  <si>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</si>
  <si>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</si>
  <si>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</si>
  <si>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</si>
  <si>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</si>
  <si>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</si>
  <si>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</si>
  <si>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</si>
  <si>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</si>
  <si>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</si>
  <si>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</si>
  <si>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</si>
  <si>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</si>
  <si>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</si>
  <si>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</si>
  <si>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</si>
  <si>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</si>
  <si>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</si>
  <si>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</si>
  <si>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</si>
  <si>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</si>
  <si>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</si>
  <si>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</si>
  <si>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</si>
  <si>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</si>
  <si>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</si>
  <si>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</si>
  <si>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</si>
  <si>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</si>
  <si>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</si>
  <si>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</si>
  <si>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</si>
  <si>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</si>
  <si>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</si>
  <si>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</si>
  <si>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</si>
  <si>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</si>
  <si>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</si>
  <si>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</si>
  <si>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</si>
  <si>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</si>
  <si>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</si>
  <si>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</si>
  <si>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</si>
  <si>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</si>
  <si>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</si>
  <si>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</si>
  <si>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</si>
  <si>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</si>
  <si>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</si>
  <si>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</si>
  <si>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</si>
  <si>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</si>
  <si>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</si>
  <si>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</si>
  <si>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</si>
  <si>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</si>
  <si>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</si>
  <si>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</si>
  <si>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</si>
  <si>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</si>
  <si>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</si>
  <si>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</si>
  <si>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</si>
  <si>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</si>
  <si>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</si>
  <si>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</si>
  <si>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</si>
  <si>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</si>
  <si>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</si>
  <si>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</si>
  <si>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</si>
  <si>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</si>
  <si>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</si>
  <si>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</si>
  <si>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</si>
  <si>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</si>
  <si>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</si>
  <si>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</si>
  <si>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</si>
  <si>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</si>
  <si>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</si>
  <si>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</si>
  <si>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</si>
  <si>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</si>
  <si>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</si>
  <si>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</si>
  <si>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</si>
  <si>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</si>
  <si>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</si>
  <si>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</si>
  <si>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</si>
  <si>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</si>
  <si>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</si>
  <si>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</si>
  <si>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</si>
  <si>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</si>
  <si>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</si>
  <si>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</si>
  <si>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</si>
  <si>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</si>
  <si>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</si>
  <si>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</si>
  <si>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</si>
  <si>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</si>
  <si>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</si>
  <si>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</si>
  <si>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</si>
  <si>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</si>
  <si>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</si>
  <si>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</si>
  <si>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</si>
  <si>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</si>
  <si>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</si>
  <si>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</si>
  <si>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</si>
  <si>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</si>
  <si>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</si>
  <si>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</si>
  <si>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</si>
  <si>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</si>
  <si>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</si>
  <si>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</si>
  <si>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</si>
  <si>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</si>
  <si>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</si>
  <si>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</si>
  <si>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</si>
  <si>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</si>
  <si>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</si>
  <si>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</si>
  <si>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</si>
  <si>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</si>
  <si>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</si>
  <si>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</si>
  <si>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</si>
  <si>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</si>
  <si>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</si>
  <si>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</si>
  <si>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</si>
  <si>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</si>
  <si>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</si>
  <si>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</si>
  <si>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</si>
  <si>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</si>
  <si>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</si>
  <si>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</si>
  <si>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</si>
  <si>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</si>
  <si>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</si>
  <si>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</si>
  <si>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</si>
  <si>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</si>
  <si>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</si>
  <si>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</si>
  <si>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</si>
  <si>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</si>
  <si>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</si>
  <si>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</si>
  <si>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</si>
  <si>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</si>
  <si>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</si>
  <si>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</si>
  <si>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</si>
  <si>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</si>
  <si>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</si>
  <si>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</si>
  <si>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</si>
  <si>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</si>
  <si>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</si>
  <si>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</si>
  <si>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</si>
  <si>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</si>
  <si>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</si>
  <si>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</si>
  <si>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</si>
  <si>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</si>
  <si>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</si>
  <si>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</si>
  <si>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</si>
  <si>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</si>
  <si>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</si>
  <si>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</si>
  <si>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</si>
  <si>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</si>
  <si>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</si>
  <si>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</si>
  <si>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</si>
  <si>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</si>
  <si>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</si>
  <si>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</si>
  <si>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</si>
  <si>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</si>
  <si>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</si>
  <si>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</si>
  <si>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</si>
  <si>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</si>
  <si>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</si>
  <si>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</si>
  <si>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</si>
  <si>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</si>
  <si>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</si>
  <si>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</si>
  <si>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</si>
  <si>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</si>
  <si>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</si>
  <si>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</si>
  <si>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</si>
  <si>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</si>
  <si>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</si>
  <si>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</si>
  <si>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</si>
  <si>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</si>
  <si>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</si>
  <si>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</si>
  <si>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</si>
  <si>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</si>
  <si>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</si>
  <si>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</si>
  <si>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</si>
  <si>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</si>
  <si>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</si>
  <si>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</si>
  <si>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</si>
  <si>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</si>
  <si>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</si>
  <si>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</si>
  <si>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</si>
  <si>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</si>
  <si>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</si>
  <si>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</si>
  <si>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</si>
  <si>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</si>
  <si>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</si>
  <si>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</si>
  <si>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</si>
  <si>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</si>
  <si>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</si>
  <si>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</si>
  <si>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</si>
  <si>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</si>
  <si>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</si>
  <si>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</si>
  <si>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</si>
  <si>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</si>
  <si>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</si>
  <si>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CJ6-T</t>
  </si>
  <si>
    <t>MJ6-T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</si>
  <si>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</si>
  <si>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</si>
  <si>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</si>
  <si>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</si>
  <si>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</si>
  <si>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</si>
  <si>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</si>
  <si>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</si>
  <si>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KOORDINAT : -6.834223, 110.629748</t>
  </si>
  <si>
    <t>C12-200</t>
  </si>
  <si>
    <t>CA1</t>
  </si>
  <si>
    <t>CG105</t>
  </si>
  <si>
    <t>PELANGGAN :</t>
  </si>
  <si>
    <t>XL : 13.9</t>
  </si>
  <si>
    <t>SMART FREN : 7.7</t>
  </si>
  <si>
    <t>SMP SULLAM : 7.7</t>
  </si>
  <si>
    <t>PONPES PUTRA SULLAM : 5.5</t>
  </si>
  <si>
    <t>PONPES SULLAM : 7.7 + 7.7</t>
  </si>
  <si>
    <t>PONPES PUTRI : 2.2</t>
  </si>
  <si>
    <t>Dan Umum</t>
  </si>
  <si>
    <t>B2</t>
  </si>
  <si>
    <t>DS WEDING, KEC BONANG</t>
  </si>
  <si>
    <t>KONSTRUKSI JARINGAN</t>
  </si>
  <si>
    <t>Demak, 21 Februari 2024</t>
  </si>
  <si>
    <t>MANAGER ULP</t>
  </si>
  <si>
    <t>AHMAD SUHENDRO</t>
  </si>
  <si>
    <t>Staf teknik</t>
  </si>
  <si>
    <t>TL Teknik</t>
  </si>
  <si>
    <t>MULP</t>
  </si>
  <si>
    <t>Mbag Ren</t>
  </si>
  <si>
    <t xml:space="preserve">
IOH_14DMK0147WEDING_BONANG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</si>
</sst>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41" fontId="22" fillId="0" borderId="0" applyFont="0" applyFill="0" applyBorder="0" applyAlignment="0" applyProtection="0"/>
    <xf numFmtId="0" fontId="5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25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29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7" fillId="33" borderId="0" xfId="0" applyFont="1" applyFill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21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9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9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128</xdr:row>
      <xdr:rowOff>81642</xdr:rowOff>
    </xdr:from>
    <xdr:to>
      <xdr:col>12</xdr:col>
      <xdr:colOff>41108</xdr:colOff>
      <xdr:row>131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248479</xdr:colOff>
      <xdr:row>28</xdr:row>
      <xdr:rowOff>24848</xdr:rowOff>
    </xdr:from>
    <xdr:to>
      <xdr:col>18</xdr:col>
      <xdr:colOff>173935</xdr:colOff>
      <xdr:row>28</xdr:row>
      <xdr:rowOff>57979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447262" y="4248978"/>
          <a:ext cx="6137412" cy="3313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91109</xdr:colOff>
      <xdr:row>17</xdr:row>
      <xdr:rowOff>8283</xdr:rowOff>
    </xdr:from>
    <xdr:to>
      <xdr:col>18</xdr:col>
      <xdr:colOff>112193</xdr:colOff>
      <xdr:row>38</xdr:row>
      <xdr:rowOff>754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6501848" y="2592457"/>
          <a:ext cx="21084" cy="314814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144117</xdr:colOff>
      <xdr:row>23</xdr:row>
      <xdr:rowOff>70667</xdr:rowOff>
    </xdr:from>
    <xdr:to>
      <xdr:col>5</xdr:col>
      <xdr:colOff>149087</xdr:colOff>
      <xdr:row>33</xdr:row>
      <xdr:rowOff>99391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1601856" y="3549363"/>
          <a:ext cx="4970" cy="151131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354646</xdr:colOff>
      <xdr:row>22</xdr:row>
      <xdr:rowOff>118215</xdr:rowOff>
    </xdr:from>
    <xdr:to>
      <xdr:col>9</xdr:col>
      <xdr:colOff>356152</xdr:colOff>
      <xdr:row>33</xdr:row>
      <xdr:rowOff>140804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74E87D6E-582D-4C9B-9CAC-13B66C97979A}"/>
            </a:ext>
          </a:extLst>
        </xdr:cNvPr>
        <xdr:cNvCxnSpPr>
          <a:cxnSpLocks/>
        </xdr:cNvCxnSpPr>
      </xdr:nvCxnSpPr>
      <xdr:spPr>
        <a:xfrm flipH="1" flipV="1">
          <a:off x="3336385" y="3447824"/>
          <a:ext cx="1506" cy="165426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332989</xdr:colOff>
      <xdr:row>31</xdr:row>
      <xdr:rowOff>3012</xdr:rowOff>
    </xdr:from>
    <xdr:to>
      <xdr:col>5</xdr:col>
      <xdr:colOff>38796</xdr:colOff>
      <xdr:row>31</xdr:row>
      <xdr:rowOff>102859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73A8EA-BA11-AD90-0ECC-954795318FC2}"/>
            </a:ext>
          </a:extLst>
        </xdr:cNvPr>
        <xdr:cNvGrpSpPr/>
      </xdr:nvGrpSpPr>
      <xdr:grpSpPr>
        <a:xfrm>
          <a:off x="1408754" y="4855159"/>
          <a:ext cx="86807" cy="99847"/>
          <a:chOff x="3725636" y="1945820"/>
          <a:chExt cx="153760" cy="144237"/>
        </a:xfrm>
        <a:noFill/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7D6B541E-C8F8-198A-FD76-F3F92156CD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6A6733D-C8BE-0F91-0D39-9653073E4D5B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2747B68-3FB6-9CED-9518-9F298FC24D93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107002</xdr:colOff>
      <xdr:row>28</xdr:row>
      <xdr:rowOff>147372</xdr:rowOff>
    </xdr:from>
    <xdr:to>
      <xdr:col>10</xdr:col>
      <xdr:colOff>191902</xdr:colOff>
      <xdr:row>29</xdr:row>
      <xdr:rowOff>93354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468767" y="4540078"/>
          <a:ext cx="84900" cy="1028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236345</xdr:colOff>
      <xdr:row>27</xdr:row>
      <xdr:rowOff>6354</xdr:rowOff>
    </xdr:from>
    <xdr:to>
      <xdr:col>17</xdr:col>
      <xdr:colOff>251346</xdr:colOff>
      <xdr:row>29</xdr:row>
      <xdr:rowOff>121600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3AFF61-733A-B7CF-0C54-EF04A0C68D3E}"/>
            </a:ext>
          </a:extLst>
        </xdr:cNvPr>
        <xdr:cNvCxnSpPr>
          <a:stCxn id="183" idx="5"/>
          <a:endCxn id="169" idx="2"/>
        </xdr:cNvCxnSpPr>
      </xdr:nvCxnSpPr>
      <xdr:spPr>
        <a:xfrm>
          <a:off x="5885084" y="4081397"/>
          <a:ext cx="396001" cy="41342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126148</xdr:colOff>
      <xdr:row>31</xdr:row>
      <xdr:rowOff>57665</xdr:rowOff>
    </xdr:from>
    <xdr:to>
      <xdr:col>9</xdr:col>
      <xdr:colOff>212046</xdr:colOff>
      <xdr:row>32</xdr:row>
      <xdr:rowOff>10687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3106913" y="4909812"/>
          <a:ext cx="85898" cy="1099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306457</xdr:colOff>
      <xdr:row>22</xdr:row>
      <xdr:rowOff>16565</xdr:rowOff>
    </xdr:from>
    <xdr:to>
      <xdr:col>17</xdr:col>
      <xdr:colOff>314739</xdr:colOff>
      <xdr:row>33</xdr:row>
      <xdr:rowOff>107674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/>
      </xdr:nvCxnSpPr>
      <xdr:spPr>
        <a:xfrm flipV="1">
          <a:off x="6336196" y="3346174"/>
          <a:ext cx="8282" cy="1722783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60459</xdr:colOff>
      <xdr:row>23</xdr:row>
      <xdr:rowOff>52946</xdr:rowOff>
    </xdr:from>
    <xdr:to>
      <xdr:col>2</xdr:col>
      <xdr:colOff>414130</xdr:colOff>
      <xdr:row>25</xdr:row>
      <xdr:rowOff>49695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259242" y="3531642"/>
          <a:ext cx="353671" cy="29492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17</xdr:col>
      <xdr:colOff>92224</xdr:colOff>
      <xdr:row>25</xdr:row>
      <xdr:rowOff>21675</xdr:rowOff>
    </xdr:from>
    <xdr:to>
      <xdr:col>17</xdr:col>
      <xdr:colOff>235099</xdr:colOff>
      <xdr:row>26</xdr:row>
      <xdr:rowOff>21674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6121963" y="3798545"/>
          <a:ext cx="142875" cy="14908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260312</xdr:colOff>
      <xdr:row>26</xdr:row>
      <xdr:rowOff>69692</xdr:rowOff>
    </xdr:from>
    <xdr:to>
      <xdr:col>17</xdr:col>
      <xdr:colOff>348678</xdr:colOff>
      <xdr:row>27</xdr:row>
      <xdr:rowOff>15674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9CAC000-3813-4E82-9BF9-03690A6CA1DF}"/>
            </a:ext>
          </a:extLst>
        </xdr:cNvPr>
        <xdr:cNvGrpSpPr/>
      </xdr:nvGrpSpPr>
      <xdr:grpSpPr>
        <a:xfrm>
          <a:off x="6289077" y="4148633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F610E76-B3CC-6A82-BA3A-57CA9F5D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E911FD2-F4C1-06EF-D695-E16CAFEE2DF3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886EC16-0AAC-B80A-9EBD-F1BCC6B91B5A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38161</xdr:colOff>
      <xdr:row>22</xdr:row>
      <xdr:rowOff>80792</xdr:rowOff>
    </xdr:from>
    <xdr:to>
      <xdr:col>19</xdr:col>
      <xdr:colOff>229915</xdr:colOff>
      <xdr:row>27</xdr:row>
      <xdr:rowOff>124811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6442902" y="3444102"/>
          <a:ext cx="572754" cy="79945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224775</xdr:colOff>
      <xdr:row>27</xdr:row>
      <xdr:rowOff>86826</xdr:rowOff>
    </xdr:from>
    <xdr:to>
      <xdr:col>17</xdr:col>
      <xdr:colOff>178793</xdr:colOff>
      <xdr:row>28</xdr:row>
      <xdr:rowOff>124240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D0192A0-5BC6-47F5-9B4A-0C527FD1BC06}"/>
            </a:ext>
          </a:extLst>
        </xdr:cNvPr>
        <xdr:cNvSpPr/>
      </xdr:nvSpPr>
      <xdr:spPr>
        <a:xfrm rot="1432848">
          <a:off x="5873514" y="416186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9</xdr:col>
      <xdr:colOff>86087</xdr:colOff>
      <xdr:row>28</xdr:row>
      <xdr:rowOff>5923</xdr:rowOff>
    </xdr:from>
    <xdr:to>
      <xdr:col>9</xdr:col>
      <xdr:colOff>277900</xdr:colOff>
      <xdr:row>30</xdr:row>
      <xdr:rowOff>41110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89D862BC-A5CD-4385-B13C-E2BF1162B311}"/>
            </a:ext>
          </a:extLst>
        </xdr:cNvPr>
        <xdr:cNvSpPr/>
      </xdr:nvSpPr>
      <xdr:spPr>
        <a:xfrm rot="16200000">
          <a:off x="3001193" y="4296686"/>
          <a:ext cx="325079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11247</xdr:colOff>
      <xdr:row>26</xdr:row>
      <xdr:rowOff>77223</xdr:rowOff>
    </xdr:from>
    <xdr:to>
      <xdr:col>15</xdr:col>
      <xdr:colOff>337950</xdr:colOff>
      <xdr:row>27</xdr:row>
      <xdr:rowOff>118637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19EE781-3307-4489-B375-CB5C27A62D68}"/>
            </a:ext>
          </a:extLst>
        </xdr:cNvPr>
        <xdr:cNvSpPr/>
      </xdr:nvSpPr>
      <xdr:spPr>
        <a:xfrm>
          <a:off x="5278986" y="4003180"/>
          <a:ext cx="326703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251346</xdr:colOff>
      <xdr:row>29</xdr:row>
      <xdr:rowOff>71677</xdr:rowOff>
    </xdr:from>
    <xdr:to>
      <xdr:col>17</xdr:col>
      <xdr:colOff>339712</xdr:colOff>
      <xdr:row>30</xdr:row>
      <xdr:rowOff>30718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19565E4D-EAAB-478D-B960-772C31CCA23E}"/>
            </a:ext>
          </a:extLst>
        </xdr:cNvPr>
        <xdr:cNvGrpSpPr/>
      </xdr:nvGrpSpPr>
      <xdr:grpSpPr>
        <a:xfrm>
          <a:off x="6280111" y="4621265"/>
          <a:ext cx="88366" cy="1047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A4919925-DAE7-C1CE-FC0F-927B3DFC85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4CAE7FA-4E8B-71C5-4FAB-C1CDDA2B2344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4A82143F-2377-BFEC-CCAC-03155A0DE60E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103994</xdr:colOff>
      <xdr:row>24</xdr:row>
      <xdr:rowOff>115956</xdr:rowOff>
    </xdr:from>
    <xdr:to>
      <xdr:col>11</xdr:col>
      <xdr:colOff>165652</xdr:colOff>
      <xdr:row>27</xdr:row>
      <xdr:rowOff>32902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10BEAD57-AB55-4974-B073-F60ABF0CCFFB}"/>
            </a:ext>
          </a:extLst>
        </xdr:cNvPr>
        <xdr:cNvSpPr/>
      </xdr:nvSpPr>
      <xdr:spPr>
        <a:xfrm>
          <a:off x="3466733" y="3743739"/>
          <a:ext cx="442658" cy="364206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RUMAH</a:t>
          </a:r>
        </a:p>
      </xdr:txBody>
    </xdr:sp>
    <xdr:clientData/>
  </xdr:twoCellAnchor>
  <xdr:twoCellAnchor>
    <xdr:from>
      <xdr:col>16</xdr:col>
      <xdr:colOff>160920</xdr:colOff>
      <xdr:row>26</xdr:row>
      <xdr:rowOff>71467</xdr:rowOff>
    </xdr:from>
    <xdr:to>
      <xdr:col>16</xdr:col>
      <xdr:colOff>249286</xdr:colOff>
      <xdr:row>27</xdr:row>
      <xdr:rowOff>20762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5808685" y="4150408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347160</xdr:colOff>
      <xdr:row>26</xdr:row>
      <xdr:rowOff>61764</xdr:rowOff>
    </xdr:from>
    <xdr:to>
      <xdr:col>14</xdr:col>
      <xdr:colOff>54526</xdr:colOff>
      <xdr:row>27</xdr:row>
      <xdr:rowOff>7746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CA93CEDC-AB20-40A5-9ED1-C692FE17A759}"/>
            </a:ext>
          </a:extLst>
        </xdr:cNvPr>
        <xdr:cNvGrpSpPr/>
      </xdr:nvGrpSpPr>
      <xdr:grpSpPr>
        <a:xfrm>
          <a:off x="4851925" y="4140705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7" name="Oval 186">
            <a:extLst>
              <a:ext uri="{FF2B5EF4-FFF2-40B4-BE49-F238E27FC236}">
                <a16:creationId xmlns:a16="http://schemas.microsoft.com/office/drawing/2014/main" id="{9F794644-9D28-3437-BD74-0A8A0467B28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3CDF7AFB-6F29-4A89-9F2E-84C2B84E65AD}"/>
              </a:ext>
            </a:extLst>
          </xdr:cNvPr>
          <xdr:cNvCxnSpPr>
            <a:stCxn id="187" idx="1"/>
            <a:endCxn id="1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AB872ABF-01E9-372F-5640-AAE18D7D9ABF}"/>
              </a:ext>
            </a:extLst>
          </xdr:cNvPr>
          <xdr:cNvCxnSpPr>
            <a:stCxn id="187" idx="3"/>
            <a:endCxn id="1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338639</xdr:colOff>
      <xdr:row>26</xdr:row>
      <xdr:rowOff>48039</xdr:rowOff>
    </xdr:from>
    <xdr:to>
      <xdr:col>12</xdr:col>
      <xdr:colOff>46005</xdr:colOff>
      <xdr:row>26</xdr:row>
      <xdr:rowOff>143107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4081404" y="4126980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127552</xdr:colOff>
      <xdr:row>26</xdr:row>
      <xdr:rowOff>64128</xdr:rowOff>
    </xdr:from>
    <xdr:to>
      <xdr:col>9</xdr:col>
      <xdr:colOff>215918</xdr:colOff>
      <xdr:row>27</xdr:row>
      <xdr:rowOff>10110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108317" y="4143069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11359</xdr:colOff>
      <xdr:row>26</xdr:row>
      <xdr:rowOff>54664</xdr:rowOff>
    </xdr:from>
    <xdr:to>
      <xdr:col>7</xdr:col>
      <xdr:colOff>99725</xdr:colOff>
      <xdr:row>27</xdr:row>
      <xdr:rowOff>3959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230124" y="4133605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249286</xdr:colOff>
      <xdr:row>26</xdr:row>
      <xdr:rowOff>117226</xdr:rowOff>
    </xdr:from>
    <xdr:to>
      <xdr:col>17</xdr:col>
      <xdr:colOff>260312</xdr:colOff>
      <xdr:row>26</xdr:row>
      <xdr:rowOff>120658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D981E6D0-CF14-4261-8828-970A53F8BDBC}"/>
            </a:ext>
          </a:extLst>
        </xdr:cNvPr>
        <xdr:cNvCxnSpPr>
          <a:stCxn id="183" idx="6"/>
          <a:endCxn id="77" idx="2"/>
        </xdr:cNvCxnSpPr>
      </xdr:nvCxnSpPr>
      <xdr:spPr>
        <a:xfrm flipV="1">
          <a:off x="5898025" y="4043183"/>
          <a:ext cx="392026" cy="3432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314741</xdr:colOff>
      <xdr:row>25</xdr:row>
      <xdr:rowOff>107673</xdr:rowOff>
    </xdr:from>
    <xdr:to>
      <xdr:col>6</xdr:col>
      <xdr:colOff>268759</xdr:colOff>
      <xdr:row>26</xdr:row>
      <xdr:rowOff>145087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5E322726-6DE4-4745-9201-26B33A7F36B8}"/>
            </a:ext>
          </a:extLst>
        </xdr:cNvPr>
        <xdr:cNvSpPr/>
      </xdr:nvSpPr>
      <xdr:spPr>
        <a:xfrm>
          <a:off x="1772480" y="3884543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16</xdr:col>
      <xdr:colOff>265043</xdr:colOff>
      <xdr:row>26</xdr:row>
      <xdr:rowOff>16564</xdr:rowOff>
    </xdr:from>
    <xdr:to>
      <xdr:col>17</xdr:col>
      <xdr:colOff>219061</xdr:colOff>
      <xdr:row>27</xdr:row>
      <xdr:rowOff>53979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E20B9A60-49F2-4019-AEC6-52144D76CCAB}"/>
            </a:ext>
          </a:extLst>
        </xdr:cNvPr>
        <xdr:cNvSpPr/>
      </xdr:nvSpPr>
      <xdr:spPr>
        <a:xfrm>
          <a:off x="5913782" y="394252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273039</xdr:colOff>
      <xdr:row>26</xdr:row>
      <xdr:rowOff>116243</xdr:rowOff>
    </xdr:from>
    <xdr:to>
      <xdr:col>10</xdr:col>
      <xdr:colOff>78540</xdr:colOff>
      <xdr:row>29</xdr:row>
      <xdr:rowOff>4001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2838658">
          <a:off x="3180520" y="4116458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364437</xdr:colOff>
      <xdr:row>30</xdr:row>
      <xdr:rowOff>2</xdr:rowOff>
    </xdr:from>
    <xdr:to>
      <xdr:col>11</xdr:col>
      <xdr:colOff>99393</xdr:colOff>
      <xdr:row>32</xdr:row>
      <xdr:rowOff>33132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F2646D0A-8BBD-4B22-99A2-FFB1460A2188}"/>
            </a:ext>
          </a:extLst>
        </xdr:cNvPr>
        <xdr:cNvSpPr/>
      </xdr:nvSpPr>
      <xdr:spPr>
        <a:xfrm>
          <a:off x="3346176" y="4514024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 editAs="oneCell">
    <xdr:from>
      <xdr:col>15</xdr:col>
      <xdr:colOff>377714</xdr:colOff>
      <xdr:row>46</xdr:row>
      <xdr:rowOff>41414</xdr:rowOff>
    </xdr:from>
    <xdr:to>
      <xdr:col>21</xdr:col>
      <xdr:colOff>326836</xdr:colOff>
      <xdr:row>54</xdr:row>
      <xdr:rowOff>91406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00282A-1381-8571-5A26-0C9A0FCD0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5453" y="6973957"/>
          <a:ext cx="2235122" cy="1375210"/>
        </a:xfrm>
        <a:prstGeom prst="rect">
          <a:avLst/>
        </a:prstGeom>
      </xdr:spPr>
    </xdr:pic>
    <xdr:clientData/>
  </xdr:twoCellAnchor>
  <xdr:twoCellAnchor>
    <xdr:from>
      <xdr:col>4</xdr:col>
      <xdr:colOff>331305</xdr:colOff>
      <xdr:row>26</xdr:row>
      <xdr:rowOff>41410</xdr:rowOff>
    </xdr:from>
    <xdr:to>
      <xdr:col>5</xdr:col>
      <xdr:colOff>38671</xdr:colOff>
      <xdr:row>26</xdr:row>
      <xdr:rowOff>139791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4656850F-66D4-42F3-9384-387218FF87CC}"/>
            </a:ext>
          </a:extLst>
        </xdr:cNvPr>
        <xdr:cNvGrpSpPr/>
      </xdr:nvGrpSpPr>
      <xdr:grpSpPr>
        <a:xfrm>
          <a:off x="1407070" y="4120351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3B45C8D7-BC9F-3F99-9106-F647DEB6D63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D1B7B6D-2C55-89AD-9645-FD8675E042D0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B63D37EA-87DF-0D3B-59F8-5D203998E7B4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26</xdr:row>
      <xdr:rowOff>24848</xdr:rowOff>
    </xdr:from>
    <xdr:to>
      <xdr:col>3</xdr:col>
      <xdr:colOff>88366</xdr:colOff>
      <xdr:row>26</xdr:row>
      <xdr:rowOff>123229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0994C96-1360-4FCD-B953-09CD11F4341F}"/>
            </a:ext>
          </a:extLst>
        </xdr:cNvPr>
        <xdr:cNvGrpSpPr/>
      </xdr:nvGrpSpPr>
      <xdr:grpSpPr>
        <a:xfrm>
          <a:off x="694765" y="4103789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A4F32670-51BB-A89C-80E1-C6982B10DE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DFD8BA-77A3-B611-CC34-B2CF8E12E9F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5DBBC6D-B51B-7A35-6F9E-4EE2E7C2D7DD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375488</xdr:colOff>
      <xdr:row>26</xdr:row>
      <xdr:rowOff>139791</xdr:rowOff>
    </xdr:from>
    <xdr:to>
      <xdr:col>16</xdr:col>
      <xdr:colOff>173861</xdr:colOff>
      <xdr:row>27</xdr:row>
      <xdr:rowOff>6354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stCxn id="20" idx="4"/>
          <a:endCxn id="183" idx="3"/>
        </xdr:cNvCxnSpPr>
      </xdr:nvCxnSpPr>
      <xdr:spPr>
        <a:xfrm>
          <a:off x="1452227" y="4065748"/>
          <a:ext cx="4370373" cy="1564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372717</xdr:colOff>
      <xdr:row>26</xdr:row>
      <xdr:rowOff>133666</xdr:rowOff>
    </xdr:from>
    <xdr:to>
      <xdr:col>4</xdr:col>
      <xdr:colOff>377376</xdr:colOff>
      <xdr:row>33</xdr:row>
      <xdr:rowOff>57978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0F8BE4A-A9AF-49EF-95BF-CC80CEC2F5D9}"/>
            </a:ext>
          </a:extLst>
        </xdr:cNvPr>
        <xdr:cNvCxnSpPr/>
      </xdr:nvCxnSpPr>
      <xdr:spPr>
        <a:xfrm flipH="1">
          <a:off x="1449456" y="4059623"/>
          <a:ext cx="4659" cy="95963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173934</xdr:colOff>
      <xdr:row>26</xdr:row>
      <xdr:rowOff>115956</xdr:rowOff>
    </xdr:from>
    <xdr:to>
      <xdr:col>9</xdr:col>
      <xdr:colOff>178593</xdr:colOff>
      <xdr:row>33</xdr:row>
      <xdr:rowOff>40268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/>
      </xdr:nvCxnSpPr>
      <xdr:spPr>
        <a:xfrm flipH="1">
          <a:off x="3155673" y="4041913"/>
          <a:ext cx="4659" cy="95963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314740</xdr:colOff>
      <xdr:row>26</xdr:row>
      <xdr:rowOff>49695</xdr:rowOff>
    </xdr:from>
    <xdr:to>
      <xdr:col>6</xdr:col>
      <xdr:colOff>268758</xdr:colOff>
      <xdr:row>27</xdr:row>
      <xdr:rowOff>87110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BB4C47A-6726-4B97-A7B5-7001B1C819B2}"/>
            </a:ext>
          </a:extLst>
        </xdr:cNvPr>
        <xdr:cNvSpPr/>
      </xdr:nvSpPr>
      <xdr:spPr>
        <a:xfrm rot="21447630">
          <a:off x="1772479" y="3975652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8</xdr:col>
      <xdr:colOff>16278</xdr:colOff>
      <xdr:row>26</xdr:row>
      <xdr:rowOff>49984</xdr:rowOff>
    </xdr:from>
    <xdr:to>
      <xdr:col>8</xdr:col>
      <xdr:colOff>351296</xdr:colOff>
      <xdr:row>27</xdr:row>
      <xdr:rowOff>87399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21447630">
          <a:off x="2617017" y="397594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12</xdr:col>
      <xdr:colOff>223631</xdr:colOff>
      <xdr:row>26</xdr:row>
      <xdr:rowOff>74544</xdr:rowOff>
    </xdr:from>
    <xdr:to>
      <xdr:col>13</xdr:col>
      <xdr:colOff>177649</xdr:colOff>
      <xdr:row>27</xdr:row>
      <xdr:rowOff>111959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3344EDD-D6F0-48D9-9A3E-304F5A8A9074}"/>
            </a:ext>
          </a:extLst>
        </xdr:cNvPr>
        <xdr:cNvSpPr/>
      </xdr:nvSpPr>
      <xdr:spPr>
        <a:xfrm rot="21447630">
          <a:off x="4348370" y="400050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314738</xdr:colOff>
      <xdr:row>26</xdr:row>
      <xdr:rowOff>82826</xdr:rowOff>
    </xdr:from>
    <xdr:to>
      <xdr:col>11</xdr:col>
      <xdr:colOff>268756</xdr:colOff>
      <xdr:row>27</xdr:row>
      <xdr:rowOff>120241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21447630">
          <a:off x="3677477" y="4008783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4</xdr:col>
      <xdr:colOff>281609</xdr:colOff>
      <xdr:row>27</xdr:row>
      <xdr:rowOff>132522</xdr:rowOff>
    </xdr:from>
    <xdr:to>
      <xdr:col>5</xdr:col>
      <xdr:colOff>92422</xdr:colOff>
      <xdr:row>30</xdr:row>
      <xdr:rowOff>18622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F7EA8915-4CC9-4477-AEE1-6018C6025FC9}"/>
            </a:ext>
          </a:extLst>
        </xdr:cNvPr>
        <xdr:cNvSpPr/>
      </xdr:nvSpPr>
      <xdr:spPr>
        <a:xfrm rot="16200000">
          <a:off x="1291715" y="4274198"/>
          <a:ext cx="325079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91109</xdr:colOff>
      <xdr:row>29</xdr:row>
      <xdr:rowOff>91109</xdr:rowOff>
    </xdr:from>
    <xdr:to>
      <xdr:col>17</xdr:col>
      <xdr:colOff>233984</xdr:colOff>
      <xdr:row>30</xdr:row>
      <xdr:rowOff>99390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D8FCD7C9-1C2E-4C2B-A0E5-221137FB8E5F}"/>
            </a:ext>
          </a:extLst>
        </xdr:cNvPr>
        <xdr:cNvSpPr/>
      </xdr:nvSpPr>
      <xdr:spPr>
        <a:xfrm>
          <a:off x="6120848" y="4464326"/>
          <a:ext cx="142875" cy="149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115956</xdr:colOff>
      <xdr:row>29</xdr:row>
      <xdr:rowOff>57978</xdr:rowOff>
    </xdr:from>
    <xdr:to>
      <xdr:col>17</xdr:col>
      <xdr:colOff>107674</xdr:colOff>
      <xdr:row>34</xdr:row>
      <xdr:rowOff>99390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97D337A-9E1B-41D1-9E74-D357397C2AA4}"/>
            </a:ext>
          </a:extLst>
        </xdr:cNvPr>
        <xdr:cNvSpPr/>
      </xdr:nvSpPr>
      <xdr:spPr>
        <a:xfrm>
          <a:off x="4621695" y="4431195"/>
          <a:ext cx="1515718" cy="778565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PONDOK</a:t>
          </a:r>
        </a:p>
      </xdr:txBody>
    </xdr:sp>
    <xdr:clientData/>
  </xdr:twoCellAnchor>
  <xdr:twoCellAnchor>
    <xdr:from>
      <xdr:col>12</xdr:col>
      <xdr:colOff>1822</xdr:colOff>
      <xdr:row>26</xdr:row>
      <xdr:rowOff>48039</xdr:rowOff>
    </xdr:from>
    <xdr:to>
      <xdr:col>16</xdr:col>
      <xdr:colOff>205103</xdr:colOff>
      <xdr:row>26</xdr:row>
      <xdr:rowOff>71467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EC3DD7B-B5DC-4D2D-8D04-01A3A9A5DE39}"/>
            </a:ext>
          </a:extLst>
        </xdr:cNvPr>
        <xdr:cNvCxnSpPr>
          <a:stCxn id="191" idx="0"/>
          <a:endCxn id="183" idx="0"/>
        </xdr:cNvCxnSpPr>
      </xdr:nvCxnSpPr>
      <xdr:spPr>
        <a:xfrm>
          <a:off x="4126561" y="3973996"/>
          <a:ext cx="1727281" cy="2342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256761</xdr:colOff>
      <xdr:row>25</xdr:row>
      <xdr:rowOff>107674</xdr:rowOff>
    </xdr:from>
    <xdr:to>
      <xdr:col>8</xdr:col>
      <xdr:colOff>210779</xdr:colOff>
      <xdr:row>26</xdr:row>
      <xdr:rowOff>145088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F579CEC-A48C-42F5-9C58-91E0EA2F60B0}"/>
            </a:ext>
          </a:extLst>
        </xdr:cNvPr>
        <xdr:cNvSpPr/>
      </xdr:nvSpPr>
      <xdr:spPr>
        <a:xfrm>
          <a:off x="2476500" y="3884544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281609</xdr:colOff>
      <xdr:row>27</xdr:row>
      <xdr:rowOff>24850</xdr:rowOff>
    </xdr:from>
    <xdr:to>
      <xdr:col>11</xdr:col>
      <xdr:colOff>235627</xdr:colOff>
      <xdr:row>28</xdr:row>
      <xdr:rowOff>62264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C8A14080-1755-4E60-AC12-2DF15072D0FF}"/>
            </a:ext>
          </a:extLst>
        </xdr:cNvPr>
        <xdr:cNvSpPr/>
      </xdr:nvSpPr>
      <xdr:spPr>
        <a:xfrm rot="19271706">
          <a:off x="3644348" y="4099893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12</xdr:col>
      <xdr:colOff>240195</xdr:colOff>
      <xdr:row>25</xdr:row>
      <xdr:rowOff>124239</xdr:rowOff>
    </xdr:from>
    <xdr:to>
      <xdr:col>13</xdr:col>
      <xdr:colOff>194213</xdr:colOff>
      <xdr:row>27</xdr:row>
      <xdr:rowOff>12567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8539D551-DE1D-4E80-B342-B5FD7FFED797}"/>
            </a:ext>
          </a:extLst>
        </xdr:cNvPr>
        <xdr:cNvSpPr/>
      </xdr:nvSpPr>
      <xdr:spPr>
        <a:xfrm>
          <a:off x="4364934" y="390110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14</xdr:col>
      <xdr:colOff>339587</xdr:colOff>
      <xdr:row>25</xdr:row>
      <xdr:rowOff>124239</xdr:rowOff>
    </xdr:from>
    <xdr:to>
      <xdr:col>15</xdr:col>
      <xdr:colOff>293605</xdr:colOff>
      <xdr:row>27</xdr:row>
      <xdr:rowOff>12567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9B7247B-60D1-41E3-8E63-C456F49423A4}"/>
            </a:ext>
          </a:extLst>
        </xdr:cNvPr>
        <xdr:cNvSpPr/>
      </xdr:nvSpPr>
      <xdr:spPr>
        <a:xfrm>
          <a:off x="5226326" y="390110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179469</xdr:colOff>
      <xdr:row>26</xdr:row>
      <xdr:rowOff>61961</xdr:rowOff>
    </xdr:from>
    <xdr:to>
      <xdr:col>11</xdr:col>
      <xdr:colOff>351580</xdr:colOff>
      <xdr:row>29</xdr:row>
      <xdr:rowOff>12208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56734E72-0636-42E6-89AA-DCCA7359AA4A}"/>
            </a:ext>
          </a:extLst>
        </xdr:cNvPr>
        <xdr:cNvCxnSpPr>
          <a:stCxn id="66" idx="7"/>
          <a:endCxn id="191" idx="1"/>
        </xdr:cNvCxnSpPr>
      </xdr:nvCxnSpPr>
      <xdr:spPr>
        <a:xfrm flipV="1">
          <a:off x="3542208" y="3987918"/>
          <a:ext cx="553111" cy="39750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12941</xdr:colOff>
      <xdr:row>26</xdr:row>
      <xdr:rowOff>39256</xdr:rowOff>
    </xdr:from>
    <xdr:to>
      <xdr:col>9</xdr:col>
      <xdr:colOff>171735</xdr:colOff>
      <xdr:row>26</xdr:row>
      <xdr:rowOff>64128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DE934254-F54D-4811-9A5C-EDE914BC9CB3}"/>
            </a:ext>
          </a:extLst>
        </xdr:cNvPr>
        <xdr:cNvCxnSpPr>
          <a:stCxn id="24" idx="1"/>
          <a:endCxn id="195" idx="0"/>
        </xdr:cNvCxnSpPr>
      </xdr:nvCxnSpPr>
      <xdr:spPr>
        <a:xfrm>
          <a:off x="708680" y="3965213"/>
          <a:ext cx="2444794" cy="24872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215918</xdr:colOff>
      <xdr:row>26</xdr:row>
      <xdr:rowOff>111662</xdr:rowOff>
    </xdr:from>
    <xdr:to>
      <xdr:col>10</xdr:col>
      <xdr:colOff>119435</xdr:colOff>
      <xdr:row>29</xdr:row>
      <xdr:rowOff>12208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5F0D0F02-A804-48FB-A626-6B1387C1446E}"/>
            </a:ext>
          </a:extLst>
        </xdr:cNvPr>
        <xdr:cNvCxnSpPr>
          <a:stCxn id="66" idx="1"/>
          <a:endCxn id="195" idx="6"/>
        </xdr:cNvCxnSpPr>
      </xdr:nvCxnSpPr>
      <xdr:spPr>
        <a:xfrm flipH="1" flipV="1">
          <a:off x="3197657" y="4037619"/>
          <a:ext cx="284517" cy="34780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248478</xdr:colOff>
      <xdr:row>25</xdr:row>
      <xdr:rowOff>107674</xdr:rowOff>
    </xdr:from>
    <xdr:to>
      <xdr:col>4</xdr:col>
      <xdr:colOff>202496</xdr:colOff>
      <xdr:row>26</xdr:row>
      <xdr:rowOff>145088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EAE7B5FE-D5DF-476A-A6E3-A25AA95A9826}"/>
            </a:ext>
          </a:extLst>
        </xdr:cNvPr>
        <xdr:cNvSpPr/>
      </xdr:nvSpPr>
      <xdr:spPr>
        <a:xfrm>
          <a:off x="944217" y="3884544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8</xdr:col>
      <xdr:colOff>306456</xdr:colOff>
      <xdr:row>23</xdr:row>
      <xdr:rowOff>8282</xdr:rowOff>
    </xdr:from>
    <xdr:to>
      <xdr:col>10</xdr:col>
      <xdr:colOff>41412</xdr:colOff>
      <xdr:row>26</xdr:row>
      <xdr:rowOff>8281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3E4CB9B3-217F-434E-B74C-DC852962248C}"/>
            </a:ext>
          </a:extLst>
        </xdr:cNvPr>
        <xdr:cNvSpPr/>
      </xdr:nvSpPr>
      <xdr:spPr>
        <a:xfrm>
          <a:off x="2907195" y="3486978"/>
          <a:ext cx="496956" cy="4472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C12-200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 baseline="0">
              <a:solidFill>
                <a:sysClr val="windowText" lastClr="000000"/>
              </a:solidFill>
            </a:rPr>
            <a:t>1 CJ6-T</a:t>
          </a:r>
          <a:endParaRPr lang="en-US" sz="600">
            <a:solidFill>
              <a:sysClr val="windowText" lastClr="00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11</xdr:col>
      <xdr:colOff>223631</xdr:colOff>
      <xdr:row>23</xdr:row>
      <xdr:rowOff>49696</xdr:rowOff>
    </xdr:from>
    <xdr:to>
      <xdr:col>12</xdr:col>
      <xdr:colOff>339587</xdr:colOff>
      <xdr:row>25</xdr:row>
      <xdr:rowOff>140804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C22DCEB5-8423-457E-A550-308D72C1FC42}"/>
            </a:ext>
          </a:extLst>
        </xdr:cNvPr>
        <xdr:cNvSpPr/>
      </xdr:nvSpPr>
      <xdr:spPr>
        <a:xfrm>
          <a:off x="3967370" y="3528392"/>
          <a:ext cx="496956" cy="38928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C12-200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13</xdr:col>
      <xdr:colOff>223630</xdr:colOff>
      <xdr:row>23</xdr:row>
      <xdr:rowOff>33130</xdr:rowOff>
    </xdr:from>
    <xdr:to>
      <xdr:col>14</xdr:col>
      <xdr:colOff>339586</xdr:colOff>
      <xdr:row>25</xdr:row>
      <xdr:rowOff>124238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83A602D-E4C3-4E95-832B-6C19226B8D36}"/>
            </a:ext>
          </a:extLst>
        </xdr:cNvPr>
        <xdr:cNvSpPr/>
      </xdr:nvSpPr>
      <xdr:spPr>
        <a:xfrm>
          <a:off x="4729369" y="3511826"/>
          <a:ext cx="496956" cy="38928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6</xdr:col>
      <xdr:colOff>173935</xdr:colOff>
      <xdr:row>23</xdr:row>
      <xdr:rowOff>57978</xdr:rowOff>
    </xdr:from>
    <xdr:to>
      <xdr:col>7</xdr:col>
      <xdr:colOff>289891</xdr:colOff>
      <xdr:row>25</xdr:row>
      <xdr:rowOff>149086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FBBCB28E-8BB9-4912-A5E1-7A64076937C3}"/>
            </a:ext>
          </a:extLst>
        </xdr:cNvPr>
        <xdr:cNvSpPr/>
      </xdr:nvSpPr>
      <xdr:spPr>
        <a:xfrm>
          <a:off x="2012674" y="3536674"/>
          <a:ext cx="496956" cy="38928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2</xdr:col>
      <xdr:colOff>237295</xdr:colOff>
      <xdr:row>25</xdr:row>
      <xdr:rowOff>49695</xdr:rowOff>
    </xdr:from>
    <xdr:to>
      <xdr:col>3</xdr:col>
      <xdr:colOff>0</xdr:colOff>
      <xdr:row>26</xdr:row>
      <xdr:rowOff>74039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2"/>
          <a:endCxn id="24" idx="2"/>
        </xdr:cNvCxnSpPr>
      </xdr:nvCxnSpPr>
      <xdr:spPr>
        <a:xfrm>
          <a:off x="436078" y="3826565"/>
          <a:ext cx="259661" cy="17343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157655</xdr:colOff>
      <xdr:row>22</xdr:row>
      <xdr:rowOff>118242</xdr:rowOff>
    </xdr:from>
    <xdr:to>
      <xdr:col>5</xdr:col>
      <xdr:colOff>273611</xdr:colOff>
      <xdr:row>25</xdr:row>
      <xdr:rowOff>118240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245D6401-AD23-4974-840F-4B643E7E6800}"/>
            </a:ext>
          </a:extLst>
        </xdr:cNvPr>
        <xdr:cNvSpPr/>
      </xdr:nvSpPr>
      <xdr:spPr>
        <a:xfrm>
          <a:off x="1228396" y="3481552"/>
          <a:ext cx="496956" cy="45325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 baseline="0">
              <a:solidFill>
                <a:sysClr val="windowText" lastClr="000000"/>
              </a:solidFill>
            </a:rPr>
            <a:t>1 CJ6-T</a:t>
          </a:r>
          <a:endParaRPr lang="en-US" sz="600">
            <a:solidFill>
              <a:sysClr val="windowText" lastClr="00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2</xdr:col>
      <xdr:colOff>262758</xdr:colOff>
      <xdr:row>27</xdr:row>
      <xdr:rowOff>6569</xdr:rowOff>
    </xdr:from>
    <xdr:to>
      <xdr:col>3</xdr:col>
      <xdr:colOff>267042</xdr:colOff>
      <xdr:row>29</xdr:row>
      <xdr:rowOff>6569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5DF7B2F-2010-44C5-8686-15056FB61D2A}"/>
            </a:ext>
          </a:extLst>
        </xdr:cNvPr>
        <xdr:cNvSpPr/>
      </xdr:nvSpPr>
      <xdr:spPr>
        <a:xfrm>
          <a:off x="459827" y="4125310"/>
          <a:ext cx="496956" cy="30217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15</xdr:col>
      <xdr:colOff>341586</xdr:colOff>
      <xdr:row>23</xdr:row>
      <xdr:rowOff>19706</xdr:rowOff>
    </xdr:from>
    <xdr:to>
      <xdr:col>17</xdr:col>
      <xdr:colOff>76542</xdr:colOff>
      <xdr:row>26</xdr:row>
      <xdr:rowOff>19705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5EDF21D7-F06D-4DCA-BE7B-6F3B95363D33}"/>
            </a:ext>
          </a:extLst>
        </xdr:cNvPr>
        <xdr:cNvSpPr/>
      </xdr:nvSpPr>
      <xdr:spPr>
        <a:xfrm>
          <a:off x="5603327" y="3534103"/>
          <a:ext cx="496956" cy="45325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>
              <a:solidFill>
                <a:sysClr val="windowText" lastClr="000000"/>
              </a:solidFill>
            </a:rPr>
            <a:t>2</a:t>
          </a:r>
          <a:r>
            <a:rPr lang="en-US" sz="600" baseline="0">
              <a:solidFill>
                <a:sysClr val="windowText" lastClr="000000"/>
              </a:solidFill>
            </a:rPr>
            <a:t> CJ5-T</a:t>
          </a:r>
        </a:p>
        <a:p>
          <a:pPr algn="l"/>
          <a:r>
            <a:rPr lang="en-US" sz="600" baseline="0">
              <a:solidFill>
                <a:sysClr val="windowText" lastClr="000000"/>
              </a:solidFill>
            </a:rPr>
            <a:t>1 CJ6-T</a:t>
          </a:r>
          <a:endParaRPr lang="en-US" sz="600">
            <a:solidFill>
              <a:sysClr val="windowText" lastClr="00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217715</xdr:colOff>
      <xdr:row>9</xdr:row>
      <xdr:rowOff>27215</xdr:rowOff>
    </xdr:from>
    <xdr:to>
      <xdr:col>20</xdr:col>
      <xdr:colOff>231322</xdr:colOff>
      <xdr:row>48</xdr:row>
      <xdr:rowOff>72104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55D6B-CC8A-54FA-D44E-AEE2BEBE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4" y="1646465"/>
          <a:ext cx="10423071" cy="64130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1134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42</v>
      </c>
      <c r="E7" s="537" t="s">
        <v>43</v>
      </c>
      <c r="F7" s="537" t="s">
        <v>1135</v>
      </c>
      <c r="G7" s="538" t="s">
        <v>41</v>
      </c>
      <c r="H7" s="534" t="s">
        <v>1042</v>
      </c>
      <c r="I7" s="534" t="s">
        <v>1137</v>
      </c>
      <c r="J7" s="534" t="s">
        <v>1026</v>
      </c>
      <c r="K7" s="528" t="s">
        <v>1024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Pin Post ) 20 KV Porcelein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235900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285</v>
      </c>
      <c r="G18" s="41">
        <f ca="1">IF(ISERROR(OFFSET('HARGA SATUAN'!$I$6,MATCH(C18,'HARGA SATUAN'!$C$7:$C$1492,0),0)),"",OFFSET('HARGA SATUAN'!$I$6,MATCH(C18,'HARGA SATUAN'!$C$7:$C$1492,0),0))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SUMIFS(RAB!$F$14:$F$112,RAB!$C$14:$C$112,C714)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SUMIFS(RAB!$F$14:$F$112,RAB!$C$14:$C$112,C715)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SUMIFS(RAB!$F$14:$F$112,RAB!$C$14:$C$112,C716)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SUMIFS(RAB!$F$14:$F$112,RAB!$C$14:$C$112,C717)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SUMIFS(RAB!$F$14:$F$112,RAB!$C$14:$C$112,C718)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SUMIFS(RAB!$F$14:$F$112,RAB!$C$14:$C$112,C719)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SUMIFS(RAB!$F$14:$F$112,RAB!$C$14:$C$112,C720)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SUMIFS(RAB!$F$14:$F$112,RAB!$C$14:$C$112,C721)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SUMIFS(RAB!$F$14:$F$112,RAB!$C$14:$C$112,C722)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SUMIFS(RAB!$F$14:$F$112,RAB!$C$14:$C$112,C723)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SUMIFS(RAB!$F$14:$F$112,RAB!$C$14:$C$112,C724)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SUMIFS(RAB!$F$14:$F$112,RAB!$C$14:$C$112,C725)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SUMIFS(RAB!$F$14:$F$112,RAB!$C$14:$C$112,C726)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SUMIFS(RAB!$F$14:$F$112,RAB!$C$14:$C$112,C727)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SUMIFS(RAB!$F$14:$F$112,RAB!$C$14:$C$112,C728)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SUMIFS(RAB!$F$14:$F$112,RAB!$C$14:$C$112,C729)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SUMIFS(RAB!$F$14:$F$112,RAB!$C$14:$C$112,C730)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SUMIFS(RAB!$F$14:$F$112,RAB!$C$14:$C$112,C731)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SUMIFS(RAB!$F$14:$F$112,RAB!$C$14:$C$112,C732)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SUMIFS(RAB!$F$14:$F$112,RAB!$C$14:$C$112,C733)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SUMIFS(RAB!$F$14:$F$112,RAB!$C$14:$C$112,C734)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SUMIFS(RAB!$F$14:$F$112,RAB!$C$14:$C$112,C735)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SUMIFS(RAB!$F$14:$F$112,RAB!$C$14:$C$112,C736)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SUMIFS(RAB!$F$14:$F$112,RAB!$C$14:$C$112,C737)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SUMIFS(RAB!$F$14:$F$112,RAB!$C$14:$C$112,C738)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SUMIFS(RAB!$F$14:$F$112,RAB!$C$14:$C$112,C739)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SUMIFS(RAB!$F$14:$F$112,RAB!$C$14:$C$112,C740)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SUMIFS(RAB!$F$14:$F$112,RAB!$C$14:$C$112,C741)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SUMIFS(RAB!$F$14:$F$112,RAB!$C$14:$C$112,C742)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SUMIFS(RAB!$F$14:$F$112,RAB!$C$14:$C$112,C743)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SUMIFS(RAB!$F$14:$F$112,RAB!$C$14:$C$112,C744)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SUMIFS(RAB!$F$14:$F$112,RAB!$C$14:$C$112,C745)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SUMIFS(RAB!$F$14:$F$112,RAB!$C$14:$C$112,C746)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SUMIFS(RAB!$F$14:$F$112,RAB!$C$14:$C$112,C747)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SUMIFS(RAB!$F$14:$F$112,RAB!$C$14:$C$112,C748)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SUMIFS(RAB!$F$14:$F$112,RAB!$C$14:$C$112,C749)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SUMIFS(RAB!$F$14:$F$112,RAB!$C$14:$C$112,C750)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SUMIFS(RAB!$F$14:$F$112,RAB!$C$14:$C$112,C751)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SUMIFS(RAB!$F$14:$F$112,RAB!$C$14:$C$112,C752)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SUMIFS(RAB!$F$14:$F$112,RAB!$C$14:$C$112,C753)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SUMIFS(RAB!$F$14:$F$112,RAB!$C$14:$C$112,C754)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SUMIFS(RAB!$F$14:$F$112,RAB!$C$14:$C$112,C755)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SUMIFS(RAB!$F$14:$F$112,RAB!$C$14:$C$112,C756)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SUMIFS(RAB!$F$14:$F$112,RAB!$C$14:$C$112,C757)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SUMIFS(RAB!$F$14:$F$112,RAB!$C$14:$C$112,C758)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SUMIFS(RAB!$F$14:$F$112,RAB!$C$14:$C$112,C759)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SUMIFS(RAB!$F$14:$F$112,RAB!$C$14:$C$112,C760)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SUMIFS(RAB!$F$14:$F$112,RAB!$C$14:$C$112,C761)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SUMIFS(RAB!$F$14:$F$112,RAB!$C$14:$C$112,C762)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SUMIFS(RAB!$F$14:$F$112,RAB!$C$14:$C$112,C763)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SUMIFS(RAB!$F$14:$F$112,RAB!$C$14:$C$112,C764)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SUMIFS(RAB!$F$14:$F$112,RAB!$C$14:$C$112,C765)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SUMIFS(RAB!$F$14:$F$112,RAB!$C$14:$C$112,C766)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SUMIFS(RAB!$F$14:$F$112,RAB!$C$14:$C$112,C767)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SUMIFS(RAB!$F$14:$F$112,RAB!$C$14:$C$112,C768)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SUMIFS(RAB!$F$14:$F$112,RAB!$C$14:$C$112,C769)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SUMIFS(RAB!$F$14:$F$112,RAB!$C$14:$C$112,C770)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SUMIFS(RAB!$F$14:$F$112,RAB!$C$14:$C$112,C771)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SUMIFS(RAB!$F$14:$F$112,RAB!$C$14:$C$112,C772)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SUMIFS(RAB!$F$14:$F$112,RAB!$C$14:$C$112,C773)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SUMIFS(RAB!$F$14:$F$112,RAB!$C$14:$C$112,C774)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SUMIFS(RAB!$F$14:$F$112,RAB!$C$14:$C$112,C775)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SUMIFS(RAB!$F$14:$F$112,RAB!$C$14:$C$112,C776)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SUMIFS(RAB!$F$14:$F$112,RAB!$C$14:$C$112,C777)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SUMIFS(RAB!$F$14:$F$112,RAB!$C$14:$C$112,C778)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SUMIFS(RAB!$F$14:$F$112,RAB!$C$14:$C$112,C779)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SUMIFS(RAB!$F$14:$F$112,RAB!$C$14:$C$112,C780)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SUMIFS(RAB!$F$14:$F$112,RAB!$C$14:$C$112,C781)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SUMIFS(RAB!$F$14:$F$112,RAB!$C$14:$C$112,C782)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SUMIFS(RAB!$F$14:$F$112,RAB!$C$14:$C$112,C783)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SUMIFS(RAB!$F$14:$F$112,RAB!$C$14:$C$112,C784)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SUMIFS(RAB!$F$14:$F$112,RAB!$C$14:$C$112,C785)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SUMIFS(RAB!$F$14:$F$112,RAB!$C$14:$C$112,C786)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SUMIFS(RAB!$F$14:$F$112,RAB!$C$14:$C$112,C787)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SUMIFS(RAB!$F$14:$F$112,RAB!$C$14:$C$112,C788)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SUMIFS(RAB!$F$14:$F$112,RAB!$C$14:$C$112,C789)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SUMIFS(RAB!$F$14:$F$112,RAB!$C$14:$C$112,C790)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SUMIFS(RAB!$F$14:$F$112,RAB!$C$14:$C$112,C791)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SUMIFS(RAB!$F$14:$F$112,RAB!$C$14:$C$112,C792)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SUMIFS(RAB!$F$14:$F$112,RAB!$C$14:$C$112,C793)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SUMIFS(RAB!$F$14:$F$112,RAB!$C$14:$C$112,C794)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SUMIFS(RAB!$F$14:$F$112,RAB!$C$14:$C$112,C795)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SUMIFS(RAB!$F$14:$F$112,RAB!$C$14:$C$112,C796)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SUMIFS(RAB!$F$14:$F$112,RAB!$C$14:$C$112,C797)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SUMIFS(RAB!$F$14:$F$112,RAB!$C$14:$C$112,C798)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SUMIFS(RAB!$F$14:$F$112,RAB!$C$14:$C$112,C799)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SUMIFS(RAB!$F$14:$F$112,RAB!$C$14:$C$112,C800)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SUMIFS(RAB!$F$14:$F$112,RAB!$C$14:$C$112,C801)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SUMIFS(RAB!$F$14:$F$112,RAB!$C$14:$C$112,C802)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SUMIFS(RAB!$F$14:$F$112,RAB!$C$14:$C$112,C803)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SUMIFS(RAB!$F$14:$F$112,RAB!$C$14:$C$112,C804)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SUMIFS(RAB!$F$14:$F$112,RAB!$C$14:$C$112,C805)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SUMIFS(RAB!$F$14:$F$112,RAB!$C$14:$C$112,C806)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SUMIFS(RAB!$F$14:$F$112,RAB!$C$14:$C$112,C807)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SUMIFS(RAB!$F$14:$F$112,RAB!$C$14:$C$112,C808)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SUMIFS(RAB!$F$14:$F$112,RAB!$C$14:$C$112,C809)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SUMIFS(RAB!$F$14:$F$112,RAB!$C$14:$C$112,C810)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SUMIFS(RAB!$F$14:$F$112,RAB!$C$14:$C$112,C811)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SUMIFS(RAB!$F$14:$F$112,RAB!$C$14:$C$112,C812)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SUMIFS(RAB!$F$14:$F$112,RAB!$C$14:$C$112,C813)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SUMIFS(RAB!$F$14:$F$112,RAB!$C$14:$C$112,C814)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SUMIFS(RAB!$F$14:$F$112,RAB!$C$14:$C$112,C815)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SUMIFS(RAB!$F$14:$F$112,RAB!$C$14:$C$112,C816)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SUMIFS(RAB!$F$14:$F$112,RAB!$C$14:$C$112,C817)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SUMIFS(RAB!$F$14:$F$112,RAB!$C$14:$C$112,C818)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SUMIFS(RAB!$F$14:$F$112,RAB!$C$14:$C$112,C819)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SUMIFS(RAB!$F$14:$F$112,RAB!$C$14:$C$112,C820)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SUMIFS(RAB!$F$14:$F$112,RAB!$C$14:$C$112,C821)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SUMIFS(RAB!$F$14:$F$112,RAB!$C$14:$C$112,C822)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SUMIFS(RAB!$F$14:$F$112,RAB!$C$14:$C$112,C823)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SUMIFS(RAB!$F$14:$F$112,RAB!$C$14:$C$112,C824)</f>
        <v>1</v>
      </c>
      <c r="E824" s="26">
        <f t="shared" ca="1" si="34"/>
        <v>1</v>
      </c>
      <c r="F824" s="26">
        <f ca="1">IF(D824=0,0,SUM($E$713:E824))</f>
        <v>5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SUMIFS(RAB!$F$14:$F$112,RAB!$C$14:$C$112,C825)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SUMIFS(RAB!$F$14:$F$112,RAB!$C$14:$C$112,C826)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SUMIFS(RAB!$F$14:$F$112,RAB!$C$14:$C$112,C827)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SUMIFS(RAB!$F$14:$F$112,RAB!$C$14:$C$112,C828)</f>
        <v>2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SUMIFS(RAB!$F$14:$F$112,RAB!$C$14:$C$112,C829)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SUMIFS(RAB!$F$14:$F$112,RAB!$C$14:$C$112,C830)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SUMIFS(RAB!$F$14:$F$112,RAB!$C$14:$C$112,C831)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SUMIFS(RAB!$F$14:$F$112,RAB!$C$14:$C$112,C832)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SUMIFS(RAB!$F$14:$F$112,RAB!$C$14:$C$112,C833)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SUMIFS(RAB!$F$14:$F$112,RAB!$C$14:$C$112,C834)</f>
        <v>285</v>
      </c>
      <c r="E834" s="26">
        <f t="shared" ca="1" si="34"/>
        <v>1</v>
      </c>
      <c r="F834" s="26">
        <f ca="1">IF(D834=0,0,SUM($E$713:E834))</f>
        <v>7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SUMIFS(RAB!$F$14:$F$112,RAB!$C$14:$C$112,C835)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SUMIFS(RAB!$F$14:$F$112,RAB!$C$14:$C$112,C836)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SUMIFS(RAB!$F$14:$F$112,RAB!$C$14:$C$112,C837)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SUMIFS(RAB!$F$14:$F$112,RAB!$C$14:$C$112,C838)</f>
        <v>35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SUMIFS(RAB!$F$14:$F$112,RAB!$C$14:$C$112,C839)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SUMIFS(RAB!$F$14:$F$112,RAB!$C$14:$C$112,C840)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SUMIFS(RAB!$F$14:$F$112,RAB!$C$14:$C$112,C841)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SUMIFS(RAB!$F$14:$F$112,RAB!$C$14:$C$112,C842)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SUMIFS(RAB!$F$14:$F$112,RAB!$C$14:$C$112,C843)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SUMIFS(RAB!$F$14:$F$112,RAB!$C$14:$C$112,C844)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SUMIFS(RAB!$F$14:$F$112,RAB!$C$14:$C$112,C845)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SUMIFS(RAB!$F$14:$F$112,RAB!$C$14:$C$112,C846)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SUMIFS(RAB!$F$14:$F$112,RAB!$C$14:$C$112,C847)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SUMIFS(RAB!$F$14:$F$112,RAB!$C$14:$C$112,C848)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SUMIFS(RAB!$F$14:$F$112,RAB!$C$14:$C$112,C849)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SUMIFS(RAB!$F$14:$F$112,RAB!$C$14:$C$112,C850)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SUMIFS(RAB!$F$14:$F$112,RAB!$C$14:$C$112,C851)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SUMIFS(RAB!$F$14:$F$112,RAB!$C$14:$C$112,C852)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SUMIFS(RAB!$F$14:$F$112,RAB!$C$14:$C$112,C853)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SUMIFS(RAB!$F$14:$F$112,RAB!$C$14:$C$112,C854)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SUMIFS(RAB!$F$14:$F$112,RAB!$C$14:$C$112,C855)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SUMIFS(RAB!$F$14:$F$112,RAB!$C$14:$C$112,C856)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SUMIFS(RAB!$F$14:$F$112,RAB!$C$14:$C$112,C857)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SUMIFS(RAB!$F$14:$F$112,RAB!$C$14:$C$112,C858)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SUMIFS(RAB!$F$14:$F$112,RAB!$C$14:$C$112,C859)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SUMIFS(RAB!$F$14:$F$112,RAB!$C$14:$C$112,C860)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SUMIFS(RAB!$F$14:$F$112,RAB!$C$14:$C$112,C861)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SUMIFS(RAB!$F$14:$F$112,RAB!$C$14:$C$112,C862)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SUMIFS(RAB!$F$14:$F$112,RAB!$C$14:$C$112,C863)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SUMIFS(RAB!$F$14:$F$112,RAB!$C$14:$C$112,C864)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SUMIFS(RAB!$F$14:$F$112,RAB!$C$14:$C$112,C865)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SUMIFS(RAB!$F$14:$F$112,RAB!$C$14:$C$112,C866)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SUMIFS(RAB!$F$14:$F$112,RAB!$C$14:$C$112,C867)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SUMIFS(RAB!$F$14:$F$112,RAB!$C$14:$C$112,C868)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SUMIFS(RAB!$F$14:$F$112,RAB!$C$14:$C$112,C869)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SUMIFS(RAB!$F$14:$F$112,RAB!$C$14:$C$112,C870)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SUMIFS(RAB!$F$14:$F$112,RAB!$C$14:$C$112,C871)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SUMIFS(RAB!$F$14:$F$112,RAB!$C$14:$C$112,C872)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SUMIFS(RAB!$F$14:$F$112,RAB!$C$14:$C$112,C873)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SUMIFS(RAB!$F$14:$F$112,RAB!$C$14:$C$112,C874)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SUMIFS(RAB!$F$14:$F$112,RAB!$C$14:$C$112,C875)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SUMIFS(RAB!$F$14:$F$112,RAB!$C$14:$C$112,C876)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SUMIFS(RAB!$F$14:$F$112,RAB!$C$14:$C$112,C877)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SUMIFS(RAB!$F$14:$F$112,RAB!$C$14:$C$112,C878)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SUMIFS(RAB!$F$14:$F$112,RAB!$C$14:$C$112,C879)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SUMIFS(RAB!$F$14:$F$112,RAB!$C$14:$C$112,C880)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SUMIFS(RAB!$F$14:$F$112,RAB!$C$14:$C$112,C881)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SUMIFS(RAB!$F$14:$F$112,RAB!$C$14:$C$112,C882)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SUMIFS(RAB!$F$14:$F$112,RAB!$C$14:$C$112,C883)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SUMIFS(RAB!$F$14:$F$112,RAB!$C$14:$C$112,C884)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SUMIFS(RAB!$F$14:$F$112,RAB!$C$14:$C$112,C885)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SUMIFS(RAB!$F$14:$F$112,RAB!$C$14:$C$112,C886)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SUMIFS(RAB!$F$14:$F$112,RAB!$C$14:$C$112,C887)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SUMIFS(RAB!$F$14:$F$112,RAB!$C$14:$C$112,C888)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SUMIFS(RAB!$F$14:$F$112,RAB!$C$14:$C$112,C889)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SUMIFS(RAB!$F$14:$F$112,RAB!$C$14:$C$112,C890)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SUMIFS(RAB!$F$14:$F$112,RAB!$C$14:$C$112,C891)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SUMIFS(RAB!$F$14:$F$112,RAB!$C$14:$C$112,C892)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SUMIFS(RAB!$F$14:$F$112,RAB!$C$14:$C$112,C893)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SUMIFS(RAB!$F$14:$F$112,RAB!$C$14:$C$112,C894)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SUMIFS(RAB!$F$14:$F$112,RAB!$C$14:$C$112,C895)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SUMIFS(RAB!$F$14:$F$112,RAB!$C$14:$C$112,C896)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SUMIFS(RAB!$F$14:$F$112,RAB!$C$14:$C$112,C897)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SUMIFS(RAB!$F$14:$F$112,RAB!$C$14:$C$112,C898)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SUMIFS(RAB!$F$14:$F$112,RAB!$C$14:$C$112,C899)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SUMIFS(RAB!$F$14:$F$112,RAB!$C$14:$C$112,C900)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SUMIFS(RAB!$F$14:$F$112,RAB!$C$14:$C$112,C901)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SUMIFS(RAB!$F$14:$F$112,RAB!$C$14:$C$112,C902)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SUMIFS(RAB!$F$14:$F$112,RAB!$C$14:$C$112,C903)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SUMIFS(RAB!$F$14:$F$112,RAB!$C$14:$C$112,C904)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SUMIFS(RAB!$F$14:$F$112,RAB!$C$14:$C$112,C905)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SUMIFS(RAB!$F$14:$F$112,RAB!$C$14:$C$112,C906)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SUMIFS(RAB!$F$14:$F$112,RAB!$C$14:$C$112,C907)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SUMIFS(RAB!$F$14:$F$112,RAB!$C$14:$C$112,C908)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SUMIFS(RAB!$F$14:$F$112,RAB!$C$14:$C$112,C909)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SUMIFS(RAB!$F$14:$F$112,RAB!$C$14:$C$112,C910)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SUMIFS(RAB!$F$14:$F$112,RAB!$C$14:$C$112,C911)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SUMIFS(RAB!$F$14:$F$112,RAB!$C$14:$C$112,C912)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SUMIFS(RAB!$F$14:$F$112,RAB!$C$14:$C$112,C913)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SUMIFS(RAB!$F$14:$F$112,RAB!$C$14:$C$112,C914)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SUMIFS(RAB!$F$14:$F$112,RAB!$C$14:$C$112,C915)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SUMIFS(RAB!$F$14:$F$112,RAB!$C$14:$C$112,C916)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SUMIFS(RAB!$F$14:$F$112,RAB!$C$14:$C$112,C917)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SUMIFS(RAB!$F$14:$F$112,RAB!$C$14:$C$112,C918)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SUMIFS(RAB!$F$14:$F$112,RAB!$C$14:$C$112,C919)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SUMIFS(RAB!$F$14:$F$112,RAB!$C$14:$C$112,C920)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SUMIFS(RAB!$F$14:$F$112,RAB!$C$14:$C$112,C921)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SUMIFS(RAB!$F$14:$F$112,RAB!$C$14:$C$112,C922)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SUMIFS(RAB!$F$14:$F$112,RAB!$C$14:$C$112,C923)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SUMIFS(RAB!$F$14:$F$112,RAB!$C$14:$C$112,C924)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SUMIFS(RAB!$F$14:$F$112,RAB!$C$14:$C$112,C925)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SUMIFS(RAB!$F$14:$F$112,RAB!$C$14:$C$112,C926)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SUMIFS(RAB!$F$14:$F$112,RAB!$C$14:$C$112,C927)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SUMIFS(RAB!$F$14:$F$112,RAB!$C$14:$C$112,C928)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SUMIFS(RAB!$F$14:$F$112,RAB!$C$14:$C$112,C929)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SUMIFS(RAB!$F$14:$F$112,RAB!$C$14:$C$112,C930)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SUMIFS(RAB!$F$14:$F$112,RAB!$C$14:$C$112,C931)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SUMIFS(RAB!$F$14:$F$112,RAB!$C$14:$C$112,C932)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SUMIFS(RAB!$F$14:$F$112,RAB!$C$14:$C$112,C933)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SUMIFS(RAB!$F$14:$F$112,RAB!$C$14:$C$112,C934)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SUMIFS(RAB!$F$14:$F$112,RAB!$C$14:$C$112,C935)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SUMIFS(RAB!$F$14:$F$112,RAB!$C$14:$C$112,C936)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SUMIFS(RAB!$F$14:$F$112,RAB!$C$14:$C$112,C937)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SUMIFS(RAB!$F$14:$F$112,RAB!$C$14:$C$112,C938)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SUMIFS(RAB!$F$14:$F$112,RAB!$C$14:$C$112,C939)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SUMIFS(RAB!$F$14:$F$112,RAB!$C$14:$C$112,C940)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SUMIFS(RAB!$F$14:$F$112,RAB!$C$14:$C$112,C941)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SUMIFS(RAB!$F$14:$F$112,RAB!$C$14:$C$112,C942)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SUMIFS(RAB!$F$14:$F$112,RAB!$C$14:$C$112,C943)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SUMIFS(RAB!$F$14:$F$112,RAB!$C$14:$C$112,C944)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SUMIFS(RAB!$F$14:$F$112,RAB!$C$14:$C$112,C945)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SUMIFS(RAB!$F$14:$F$112,RAB!$C$14:$C$112,C946)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SUMIFS(RAB!$F$14:$F$112,RAB!$C$14:$C$112,C947)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SUMIFS(RAB!$F$14:$F$112,RAB!$C$14:$C$112,C948)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SUMIFS(RAB!$F$14:$F$112,RAB!$C$14:$C$112,C949)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SUMIFS(RAB!$F$14:$F$112,RAB!$C$14:$C$112,C950)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SUMIFS(RAB!$F$14:$F$112,RAB!$C$14:$C$112,C951)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SUMIFS(RAB!$F$14:$F$112,RAB!$C$14:$C$112,C952)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SUMIFS(RAB!$F$14:$F$112,RAB!$C$14:$C$112,C953)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SUMIFS(RAB!$F$14:$F$112,RAB!$C$14:$C$112,C954)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SUMIFS(RAB!$F$14:$F$112,RAB!$C$14:$C$112,C955)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SUMIFS(RAB!$F$14:$F$112,RAB!$C$14:$C$112,C956)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SUMIFS(RAB!$F$14:$F$112,RAB!$C$14:$C$112,C957)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SUMIFS(RAB!$F$14:$F$112,RAB!$C$14:$C$112,C958)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SUMIFS(RAB!$F$14:$F$112,RAB!$C$14:$C$112,C959)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SUMIFS(RAB!$F$14:$F$112,RAB!$C$14:$C$112,C960)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SUMIFS(RAB!$F$14:$F$112,RAB!$C$14:$C$112,C961)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SUMIFS(RAB!$F$14:$F$112,RAB!$C$14:$C$112,C962)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SUMIFS(RAB!$F$14:$F$112,RAB!$C$14:$C$112,C963)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SUMIFS(RAB!$F$14:$F$112,RAB!$C$14:$C$112,C964)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SUMIFS(RAB!$F$14:$F$112,RAB!$C$14:$C$112,C965)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SUMIFS(RAB!$F$14:$F$112,RAB!$C$14:$C$112,C966)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SUMIFS(RAB!$F$14:$F$112,RAB!$C$14:$C$112,C967)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SUMIFS(RAB!$F$14:$F$112,RAB!$C$14:$C$112,C968)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SUMIFS(RAB!$F$14:$F$112,RAB!$C$14:$C$112,C969)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SUMIFS(RAB!$F$14:$F$112,RAB!$C$14:$C$112,C970)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SUMIFS(RAB!$F$14:$F$112,RAB!$C$14:$C$112,C971)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SUMIFS(RAB!$F$14:$F$112,RAB!$C$14:$C$112,C972)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SUMIFS(RAB!$F$14:$F$112,RAB!$C$14:$C$112,C973)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SUMIFS(RAB!$F$14:$F$112,RAB!$C$14:$C$112,C974)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SUMIFS(RAB!$F$14:$F$112,RAB!$C$14:$C$112,C975)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SUMIFS(RAB!$F$14:$F$112,RAB!$C$14:$C$112,C976)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SUMIFS(RAB!$F$14:$F$112,RAB!$C$14:$C$112,C977)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SUMIFS(RAB!$F$14:$F$112,RAB!$C$14:$C$112,C978)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SUMIFS(RAB!$F$14:$F$112,RAB!$C$14:$C$112,C979)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SUMIFS(RAB!$F$14:$F$112,RAB!$C$14:$C$112,C980)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SUMIFS(RAB!$F$14:$F$112,RAB!$C$14:$C$112,C981)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SUMIFS(RAB!$F$14:$F$112,RAB!$C$14:$C$112,C982)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SUMIFS(RAB!$F$14:$F$112,RAB!$C$14:$C$112,C983)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SUMIFS(RAB!$F$14:$F$112,RAB!$C$14:$C$112,C984)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SUMIFS(RAB!$F$14:$F$112,RAB!$C$14:$C$112,C985)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SUMIFS(RAB!$F$14:$F$112,RAB!$C$14:$C$112,C986)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SUMIFS(RAB!$F$14:$F$112,RAB!$C$14:$C$112,C987)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SUMIFS(RAB!$F$14:$F$112,RAB!$C$14:$C$112,C988)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SUMIFS(RAB!$F$14:$F$112,RAB!$C$14:$C$112,C989)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SUMIFS(RAB!$F$14:$F$112,RAB!$C$14:$C$112,C990)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SUMIFS(RAB!$F$14:$F$112,RAB!$C$14:$C$112,C991)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SUMIFS(RAB!$F$14:$F$112,RAB!$C$14:$C$112,C992)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SUMIFS(RAB!$F$14:$F$112,RAB!$C$14:$C$112,C993)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SUMIFS(RAB!$F$14:$F$112,RAB!$C$14:$C$112,C994)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SUMIFS(RAB!$F$14:$F$112,RAB!$C$14:$C$112,C995)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SUMIFS(RAB!$F$14:$F$112,RAB!$C$14:$C$112,C996)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SUMIFS(RAB!$F$14:$F$112,RAB!$C$14:$C$112,C997)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SUMIFS(RAB!$F$14:$F$112,RAB!$C$14:$C$112,C998)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SUMIFS(RAB!$F$14:$F$112,RAB!$C$14:$C$112,C999)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SUMIFS(RAB!$F$14:$F$112,RAB!$C$14:$C$112,C1000)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SUMIFS(RAB!$F$14:$F$112,RAB!$C$14:$C$112,C1001)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SUMIFS(RAB!$F$14:$F$112,RAB!$C$14:$C$112,C1002)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SUMIFS(RAB!$F$14:$F$112,RAB!$C$14:$C$112,C1003)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SUMIFS(RAB!$F$14:$F$112,RAB!$C$14:$C$112,C1004)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SUMIFS(RAB!$F$14:$F$112,RAB!$C$14:$C$112,C1005)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SUMIFS(RAB!$F$14:$F$112,RAB!$C$14:$C$112,C1006)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SUMIFS(RAB!$F$14:$F$112,RAB!$C$14:$C$112,C1007)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SUMIFS(RAB!$F$14:$F$112,RAB!$C$14:$C$112,C1008)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SUMIFS(RAB!$F$14:$F$112,RAB!$C$14:$C$112,C1009)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SUMIFS(RAB!$F$14:$F$112,RAB!$C$14:$C$112,C1010)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SUMIFS(RAB!$F$14:$F$112,RAB!$C$14:$C$112,C1011)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SUMIFS(RAB!$F$14:$F$112,RAB!$C$14:$C$112,C1012)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SUMIFS(RAB!$F$14:$F$112,RAB!$C$14:$C$112,C1013)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SUMIFS(RAB!$F$14:$F$112,RAB!$C$14:$C$112,C1014)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SUMIFS(RAB!$F$14:$F$112,RAB!$C$14:$C$112,C1015)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SUMIFS(RAB!$F$14:$F$112,RAB!$C$14:$C$112,C1016)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SUMIFS(RAB!$F$14:$F$112,RAB!$C$14:$C$112,C1017)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SUMIFS(RAB!$F$14:$F$112,RAB!$C$14:$C$112,C1018)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SUMIFS(RAB!$F$14:$F$112,RAB!$C$14:$C$112,C1019)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SUMIFS(RAB!$F$14:$F$112,RAB!$C$14:$C$112,C1020)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SUMIFS(RAB!$F$14:$F$112,RAB!$C$14:$C$112,C1021)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SUMIFS(RAB!$F$14:$F$112,RAB!$C$14:$C$112,C1022)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SUMIFS(RAB!$F$14:$F$112,RAB!$C$14:$C$112,C1023)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SUMIFS(RAB!$F$14:$F$112,RAB!$C$14:$C$112,C1024)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SUMIFS(RAB!$F$14:$F$112,RAB!$C$14:$C$112,C1025)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SUMIFS(RAB!$F$14:$F$112,RAB!$C$14:$C$112,C1026)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SUMIFS(RAB!$F$14:$F$112,RAB!$C$14:$C$112,C1027)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SUMIFS(RAB!$F$14:$F$112,RAB!$C$14:$C$112,C1028)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SUMIFS(RAB!$F$14:$F$112,RAB!$C$14:$C$112,C1029)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SUMIFS(RAB!$F$14:$F$112,RAB!$C$14:$C$112,C1030)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SUMIFS(RAB!$F$14:$F$112,RAB!$C$14:$C$112,C1031)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SUMIFS(RAB!$F$14:$F$112,RAB!$C$14:$C$112,C1032)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SUMIFS(RAB!$F$14:$F$112,RAB!$C$14:$C$112,C1033)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SUMIFS(RAB!$F$14:$F$112,RAB!$C$14:$C$112,C1034)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SUMIFS(RAB!$F$14:$F$112,RAB!$C$14:$C$112,C1035)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SUMIFS(RAB!$F$14:$F$112,RAB!$C$14:$C$112,C1036)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SUMIFS(RAB!$F$14:$F$112,RAB!$C$14:$C$112,C1037)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SUMIFS(RAB!$F$14:$F$112,RAB!$C$14:$C$112,C1038)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SUMIFS(RAB!$F$14:$F$112,RAB!$C$14:$C$112,C1039)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SUMIFS(RAB!$F$14:$F$112,RAB!$C$14:$C$112,C1040)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SUMIFS(RAB!$F$14:$F$112,RAB!$C$14:$C$112,C1041)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SUMIFS(RAB!$F$14:$F$112,RAB!$C$14:$C$112,C1042)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SUMIFS(RAB!$F$14:$F$112,RAB!$C$14:$C$112,C1043)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SUMIFS(RAB!$F$14:$F$112,RAB!$C$14:$C$112,C1044)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SUMIFS(RAB!$F$14:$F$112,RAB!$C$14:$C$112,C1045)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SUMIFS(RAB!$F$14:$F$112,RAB!$C$14:$C$112,C1046)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SUMIFS(RAB!$F$14:$F$112,RAB!$C$14:$C$112,C1047)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SUMIFS(RAB!$F$14:$F$112,RAB!$C$14:$C$112,C1048)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SUMIFS(RAB!$F$14:$F$112,RAB!$C$14:$C$112,C1049)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SUMIFS(RAB!$F$14:$F$112,RAB!$C$14:$C$112,C1050)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SUMIFS(RAB!$F$14:$F$112,RAB!$C$14:$C$112,C1051)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SUMIFS(RAB!$F$14:$F$112,RAB!$C$14:$C$112,C1052)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SUMIFS(RAB!$F$14:$F$112,RAB!$C$14:$C$112,C1053)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SUMIFS(RAB!$F$14:$F$112,RAB!$C$14:$C$112,C1054)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SUMIFS(RAB!$F$14:$F$112,RAB!$C$14:$C$112,C1055)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SUMIFS(RAB!$F$14:$F$112,RAB!$C$14:$C$112,C1056)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SUMIFS(RAB!$F$14:$F$112,RAB!$C$14:$C$112,C1057)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SUMIFS(RAB!$F$14:$F$112,RAB!$C$14:$C$112,C1058)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SUMIFS(RAB!$F$14:$F$112,RAB!$C$14:$C$112,C1059)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SUMIFS(RAB!$F$14:$F$112,RAB!$C$14:$C$112,C1060)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SUMIFS(RAB!$F$14:$F$112,RAB!$C$14:$C$112,C1061)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SUMIFS(RAB!$F$14:$F$112,RAB!$C$14:$C$112,C1062)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SUMIFS(RAB!$F$14:$F$112,RAB!$C$14:$C$112,C1063)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SUMIFS(RAB!$F$14:$F$112,RAB!$C$14:$C$112,C1064)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SUMIFS(RAB!$F$14:$F$112,RAB!$C$14:$C$112,C1065)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SUMIFS(RAB!$F$14:$F$112,RAB!$C$14:$C$112,C1066)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SUMIFS(RAB!$F$14:$F$112,RAB!$C$14:$C$112,C1067)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SUMIFS(RAB!$F$14:$F$112,RAB!$C$14:$C$112,C1068)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SUMIFS(RAB!$F$14:$F$112,RAB!$C$14:$C$112,C1069)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SUMIFS(RAB!$F$14:$F$112,RAB!$C$14:$C$112,C1070)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SUMIFS(RAB!$F$14:$F$112,RAB!$C$14:$C$112,C1071)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SUMIFS(RAB!$F$14:$F$112,RAB!$C$14:$C$112,C1072)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SUMIFS(RAB!$F$14:$F$112,RAB!$C$14:$C$112,C1073)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SUMIFS(RAB!$F$14:$F$112,RAB!$C$14:$C$112,C1074)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SUMIFS(RAB!$F$14:$F$112,RAB!$C$14:$C$112,C1075)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SUMIFS(RAB!$F$14:$F$112,RAB!$C$14:$C$112,C1076)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SUMIFS(RAB!$F$14:$F$112,RAB!$C$14:$C$112,C1077)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SUMIFS(RAB!$F$14:$F$112,RAB!$C$14:$C$112,C1078)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SUMIFS(RAB!$F$14:$F$112,RAB!$C$14:$C$112,C1079)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SUMIFS(RAB!$F$14:$F$112,RAB!$C$14:$C$112,C1080)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SUMIFS(RAB!$F$14:$F$112,RAB!$C$14:$C$112,C1081)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SUMIFS(RAB!$F$14:$F$112,RAB!$C$14:$C$112,C1082)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SUMIFS(RAB!$F$14:$F$112,RAB!$C$14:$C$112,C1083)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SUMIFS(RAB!$F$14:$F$112,RAB!$C$14:$C$112,C1084)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SUMIFS(RAB!$F$14:$F$112,RAB!$C$14:$C$112,C1085)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SUMIFS(RAB!$F$14:$F$112,RAB!$C$14:$C$112,C1086)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SUMIFS(RAB!$F$14:$F$112,RAB!$C$14:$C$112,C1087)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SUMIFS(RAB!$F$14:$F$112,RAB!$C$14:$C$112,C1088)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SUMIFS(RAB!$F$14:$F$112,RAB!$C$14:$C$112,C1089)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SUMIFS(RAB!$F$14:$F$112,RAB!$C$14:$C$112,C1090)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SUMIFS(RAB!$F$14:$F$112,RAB!$C$14:$C$112,C1091)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SUMIFS(RAB!$F$14:$F$112,RAB!$C$14:$C$112,C1092)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SUMIFS(RAB!$F$14:$F$112,RAB!$C$14:$C$112,C1093)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SUMIFS(RAB!$F$14:$F$112,RAB!$C$14:$C$112,C1094)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SUMIFS(RAB!$F$14:$F$112,RAB!$C$14:$C$112,C1095)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SUMIFS(RAB!$F$14:$F$112,RAB!$C$14:$C$112,C1096)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SUMIFS(RAB!$F$14:$F$112,RAB!$C$14:$C$112,C1097)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SUMIFS(RAB!$F$14:$F$112,RAB!$C$14:$C$112,C1098)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SUMIFS(RAB!$F$14:$F$112,RAB!$C$14:$C$112,C1099)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SUMIFS(RAB!$F$14:$F$112,RAB!$C$14:$C$112,C1100)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SUMIFS(RAB!$F$14:$F$112,RAB!$C$14:$C$112,C1101)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SUMIFS(RAB!$F$14:$F$112,RAB!$C$14:$C$112,C1102)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SUMIFS(RAB!$F$14:$F$112,RAB!$C$14:$C$112,C1103)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SUMIFS(RAB!$F$14:$F$112,RAB!$C$14:$C$112,C1104)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SUMIFS(RAB!$F$14:$F$112,RAB!$C$14:$C$112,C1105)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SUMIFS(RAB!$F$14:$F$112,RAB!$C$14:$C$112,C1106)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SUMIFS(RAB!$F$14:$F$112,RAB!$C$14:$C$112,C1107)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SUMIFS(RAB!$F$14:$F$112,RAB!$C$14:$C$112,C1108)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SUMIFS(RAB!$F$14:$F$112,RAB!$C$14:$C$112,C1109)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SUMIFS(RAB!$F$14:$F$112,RAB!$C$14:$C$112,C1110)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SUMIFS(RAB!$F$14:$F$112,RAB!$C$14:$C$112,C1111)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SUMIFS(RAB!$F$14:$F$112,RAB!$C$14:$C$112,C1112)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SUMIFS(RAB!$F$14:$F$112,RAB!$C$14:$C$112,C1113)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SUMIFS(RAB!$F$14:$F$112,RAB!$C$14:$C$112,C1114)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SUMIFS(RAB!$F$14:$F$112,RAB!$C$14:$C$112,C1115)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SUMIFS(RAB!$F$14:$F$112,RAB!$C$14:$C$112,C1116)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SUMIFS(RAB!$F$14:$F$112,RAB!$C$14:$C$112,C1117)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SUMIFS(RAB!$F$14:$F$112,RAB!$C$14:$C$112,C1118)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SUMIFS(RAB!$F$14:$F$112,RAB!$C$14:$C$112,C1119)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SUMIFS(RAB!$F$14:$F$112,RAB!$C$14:$C$112,C1120)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SUMIFS(RAB!$F$14:$F$112,RAB!$C$14:$C$112,C1121)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SUMIFS(RAB!$F$14:$F$112,RAB!$C$14:$C$112,C1122)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SUMIFS(RAB!$F$14:$F$112,RAB!$C$14:$C$112,C1123)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SUMIFS(RAB!$F$14:$F$112,RAB!$C$14:$C$112,C1124)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SUMIFS(RAB!$F$14:$F$112,RAB!$C$14:$C$112,C1125)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SUMIFS(RAB!$F$14:$F$112,RAB!$C$14:$C$112,C1126)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SUMIFS(RAB!$F$14:$F$112,RAB!$C$14:$C$112,C1127)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SUMIFS(RAB!$F$14:$F$112,RAB!$C$14:$C$112,C1128)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SUMIFS(RAB!$F$14:$F$112,RAB!$C$14:$C$112,C1129)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SUMIFS(RAB!$F$14:$F$112,RAB!$C$14:$C$112,C1130)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SUMIFS(RAB!$F$14:$F$112,RAB!$C$14:$C$112,C1131)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SUMIFS(RAB!$F$14:$F$112,RAB!$C$14:$C$112,C1132)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SUMIFS(RAB!$F$14:$F$112,RAB!$C$14:$C$112,C1133)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SUMIFS(RAB!$F$14:$F$112,RAB!$C$14:$C$112,C1134)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SUMIFS(RAB!$F$14:$F$112,RAB!$C$14:$C$112,C1135)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SUMIFS(RAB!$F$14:$F$112,RAB!$C$14:$C$112,C1136)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SUMIFS(RAB!$F$14:$F$112,RAB!$C$14:$C$112,C1137)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SUMIFS(RAB!$F$14:$F$112,RAB!$C$14:$C$112,C1138)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SUMIFS(RAB!$F$14:$F$112,RAB!$C$14:$C$112,C1139)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SUMIFS(RAB!$F$14:$F$112,RAB!$C$14:$C$112,C1140)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SUMIFS(RAB!$F$14:$F$112,RAB!$C$14:$C$112,C1141)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SUMIFS(RAB!$F$14:$F$112,RAB!$C$14:$C$112,C1142)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SUMIFS(RAB!$F$14:$F$112,RAB!$C$14:$C$112,C1143)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SUMIFS(RAB!$F$14:$F$112,RAB!$C$14:$C$112,C1144)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SUMIFS(RAB!$F$14:$F$112,RAB!$C$14:$C$112,C1145)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SUMIFS(RAB!$F$14:$F$112,RAB!$C$14:$C$112,C1146)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SUMIFS(RAB!$F$14:$F$112,RAB!$C$14:$C$112,C1147)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SUMIFS(RAB!$F$14:$F$112,RAB!$C$14:$C$112,C1148)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SUMIFS(RAB!$F$14:$F$112,RAB!$C$14:$C$112,C1149)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SUMIFS(RAB!$F$14:$F$112,RAB!$C$14:$C$112,C1150)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SUMIFS(RAB!$F$14:$F$112,RAB!$C$14:$C$112,C1151)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SUMIFS(RAB!$F$14:$F$112,RAB!$C$14:$C$112,C1152)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SUMIFS(RAB!$F$14:$F$112,RAB!$C$14:$C$112,C1153)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SUMIFS(RAB!$F$14:$F$112,RAB!$C$14:$C$112,C1154)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SUMIFS(RAB!$F$14:$F$112,RAB!$C$14:$C$112,C1155)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SUMIFS(RAB!$F$14:$F$112,RAB!$C$14:$C$112,C1156)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SUMIFS(RAB!$F$14:$F$112,RAB!$C$14:$C$112,C1157)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SUMIFS(RAB!$F$14:$F$112,RAB!$C$14:$C$112,C1158)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SUMIFS(RAB!$F$14:$F$112,RAB!$C$14:$C$112,C1159)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SUMIFS(RAB!$F$14:$F$112,RAB!$C$14:$C$112,C1160)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SUMIFS(RAB!$F$14:$F$112,RAB!$C$14:$C$112,C1161)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SUMIFS(RAB!$F$14:$F$112,RAB!$C$14:$C$112,C1162)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SUMIFS(RAB!$F$14:$F$112,RAB!$C$14:$C$112,C1163)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SUMIFS(RAB!$F$14:$F$112,RAB!$C$14:$C$112,C1164)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SUMIFS(RAB!$F$14:$F$112,RAB!$C$14:$C$112,C1165)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SUMIFS(RAB!$F$14:$F$112,RAB!$C$14:$C$112,C1166)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SUMIFS(RAB!$F$14:$F$112,RAB!$C$14:$C$112,C1167)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SUMIFS(RAB!$F$14:$F$112,RAB!$C$14:$C$112,C1168)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SUMIFS(RAB!$F$14:$F$112,RAB!$C$14:$C$112,C1169)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SUMIFS(RAB!$F$14:$F$112,RAB!$C$14:$C$112,C1170)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SUMIFS(RAB!$F$14:$F$112,RAB!$C$14:$C$112,C1171)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SUMIFS(RAB!$F$14:$F$112,RAB!$C$14:$C$112,C1172)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SUMIFS(RAB!$F$14:$F$112,RAB!$C$14:$C$112,C1173)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SUMIFS(RAB!$F$14:$F$112,RAB!$C$14:$C$112,C1174)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SUMIFS(RAB!$F$14:$F$112,RAB!$C$14:$C$112,C1175)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SUMIFS(RAB!$F$14:$F$112,RAB!$C$14:$C$112,C1176)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SUMIFS(RAB!$F$14:$F$112,RAB!$C$14:$C$112,C1177)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SUMIFS(RAB!$F$14:$F$112,RAB!$C$14:$C$112,C1178)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SUMIFS(RAB!$F$14:$F$112,RAB!$C$14:$C$112,C1179)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SUMIFS(RAB!$F$14:$F$112,RAB!$C$14:$C$112,C1180)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SUMIFS(RAB!$F$14:$F$112,RAB!$C$14:$C$112,C1181)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SUMIFS(RAB!$F$14:$F$112,RAB!$C$14:$C$112,C1182)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SUMIFS(RAB!$F$14:$F$112,RAB!$C$14:$C$112,C1183)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SUMIFS(RAB!$F$14:$F$112,RAB!$C$14:$C$112,C1184)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SUMIFS(RAB!$F$14:$F$112,RAB!$C$14:$C$112,C1185)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SUMIFS(RAB!$F$14:$F$112,RAB!$C$14:$C$112,C1186)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SUMIFS(RAB!$F$14:$F$112,RAB!$C$14:$C$112,C1187)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SUMIFS(RAB!$F$14:$F$112,RAB!$C$14:$C$112,C1188)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SUMIFS(RAB!$F$14:$F$112,RAB!$C$14:$C$112,C1189)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SUMIFS(RAB!$F$14:$F$112,RAB!$C$14:$C$112,C1190)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SUMIFS(RAB!$F$14:$F$112,RAB!$C$14:$C$112,C1191)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SUMIFS(RAB!$F$14:$F$112,RAB!$C$14:$C$112,C1192)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SUMIFS(RAB!$F$14:$F$112,RAB!$C$14:$C$112,C1193)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SUMIFS(RAB!$F$14:$F$112,RAB!$C$14:$C$112,C1194)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SUMIFS(RAB!$F$14:$F$112,RAB!$C$14:$C$112,C1195)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SUMIFS(RAB!$F$14:$F$112,RAB!$C$14:$C$112,C1196)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SUMIFS(RAB!$F$14:$F$112,RAB!$C$14:$C$112,C1197)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SUMIFS(RAB!$F$14:$F$112,RAB!$C$14:$C$112,C1198)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SUMIFS(RAB!$F$14:$F$112,RAB!$C$14:$C$112,C1199)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SUMIFS(RAB!$F$14:$F$112,RAB!$C$14:$C$112,C1200)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SUMIFS(RAB!$F$14:$F$112,RAB!$C$14:$C$112,C1201)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SUMIFS(RAB!$F$14:$F$112,RAB!$C$14:$C$112,C1202)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SUMIFS(RAB!$F$14:$F$112,RAB!$C$14:$C$112,C1203)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SUMIFS(RAB!$F$14:$F$112,RAB!$C$14:$C$112,C1204)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SUMIFS(RAB!$F$14:$F$112,RAB!$C$14:$C$112,C1205)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SUMIFS(RAB!$F$14:$F$112,RAB!$C$14:$C$112,C1206)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SUMIFS(RAB!$F$14:$F$112,RAB!$C$14:$C$112,C1207)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SUMIFS(RAB!$F$14:$F$112,RAB!$C$14:$C$112,C1208)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SUMIFS(RAB!$F$14:$F$112,RAB!$C$14:$C$112,C1209)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SUMIFS(RAB!$F$14:$F$112,RAB!$C$14:$C$112,C1210)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SUMIFS(RAB!$F$14:$F$112,RAB!$C$14:$C$112,C1211)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SUMIFS(RAB!$F$14:$F$112,RAB!$C$14:$C$112,C1212)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SUMIFS(RAB!$F$14:$F$112,RAB!$C$14:$C$112,C1213)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SUMIFS(RAB!$F$14:$F$112,RAB!$C$14:$C$112,C1214)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SUMIFS(RAB!$F$14:$F$112,RAB!$C$14:$C$112,C1215)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SUMIFS(RAB!$F$14:$F$112,RAB!$C$14:$C$112,C1216)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SUMIFS(RAB!$F$14:$F$112,RAB!$C$14:$C$112,C1217)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SUMIFS(RAB!$F$14:$F$112,RAB!$C$14:$C$112,C1218)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SUMIFS(RAB!$F$14:$F$112,RAB!$C$14:$C$112,C1219)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SUMIFS(RAB!$F$14:$F$112,RAB!$C$14:$C$112,C1220)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SUMIFS(RAB!$F$14:$F$112,RAB!$C$14:$C$112,C1221)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SUMIFS(RAB!$F$14:$F$112,RAB!$C$14:$C$112,C1222)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SUMIFS(RAB!$F$14:$F$112,RAB!$C$14:$C$112,C1223)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SUMIFS(RAB!$F$14:$F$112,RAB!$C$14:$C$112,C1224)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SUMIFS(RAB!$F$14:$F$112,RAB!$C$14:$C$112,C1225)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SUMIFS(RAB!$F$14:$F$112,RAB!$C$14:$C$112,C1226)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SUMIFS(RAB!$F$14:$F$112,RAB!$C$14:$C$112,C1227)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SUMIFS(RAB!$F$14:$F$112,RAB!$C$14:$C$112,C1228)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SUMIFS(RAB!$F$14:$F$112,RAB!$C$14:$C$112,C1229)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SUMIFS(RAB!$F$14:$F$112,RAB!$C$14:$C$112,C1230)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SUMIFS(RAB!$F$14:$F$112,RAB!$C$14:$C$112,C1231)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SUMIFS(RAB!$F$14:$F$112,RAB!$C$14:$C$112,C1232)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SUMIFS(RAB!$F$14:$F$112,RAB!$C$14:$C$112,C1233)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SUMIFS(RAB!$F$14:$F$112,RAB!$C$14:$C$112,C1234)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SUMIFS(RAB!$F$14:$F$112,RAB!$C$14:$C$112,C1235)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SUMIFS(RAB!$F$14:$F$112,RAB!$C$14:$C$112,C1236)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SUMIFS(RAB!$F$14:$F$112,RAB!$C$14:$C$112,C1237)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SUMIFS(RAB!$F$14:$F$112,RAB!$C$14:$C$112,C1238)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SUMIFS(RAB!$F$14:$F$112,RAB!$C$14:$C$112,C1239)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SUMIFS(RAB!$F$14:$F$112,RAB!$C$14:$C$112,C1240)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SUMIFS(RAB!$F$14:$F$112,RAB!$C$14:$C$112,C1241)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SUMIFS(RAB!$F$14:$F$112,RAB!$C$14:$C$112,C1242)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SUMIFS(RAB!$F$14:$F$112,RAB!$C$14:$C$112,C1243)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SUMIFS(RAB!$F$14:$F$112,RAB!$C$14:$C$112,C1244)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SUMIFS(RAB!$F$14:$F$112,RAB!$C$14:$C$112,C1245)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SUMIFS(RAB!$F$14:$F$112,RAB!$C$14:$C$112,C1246)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SUMIFS(RAB!$F$14:$F$112,RAB!$C$14:$C$112,C1247)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SUMIFS(RAB!$F$14:$F$112,RAB!$C$14:$C$112,C1248)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SUMIFS(RAB!$F$14:$F$112,RAB!$C$14:$C$112,C1249)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SUMIFS(RAB!$F$14:$F$112,RAB!$C$14:$C$112,C1250)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SUMIFS(RAB!$F$14:$F$112,RAB!$C$14:$C$112,C1251)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SUMIFS(RAB!$F$14:$F$112,RAB!$C$14:$C$112,C1252)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SUMIFS(RAB!$F$14:$F$112,RAB!$C$14:$C$112,C1253)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SUMIFS(RAB!$F$14:$F$112,RAB!$C$14:$C$112,C1254)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SUMIFS(RAB!$F$14:$F$112,RAB!$C$14:$C$112,C1255)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SUMIFS(RAB!$F$14:$F$112,RAB!$C$14:$C$112,C1256)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SUMIFS(RAB!$F$14:$F$112,RAB!$C$14:$C$112,C1257)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SUMIFS(RAB!$F$14:$F$112,RAB!$C$14:$C$112,C1258)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SUMIFS(RAB!$F$14:$F$112,RAB!$C$14:$C$112,C1259)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SUMIFS(RAB!$F$14:$F$112,RAB!$C$14:$C$112,C1260)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SUMIFS(RAB!$F$14:$F$112,RAB!$C$14:$C$112,C1261)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SUMIFS(RAB!$F$14:$F$112,RAB!$C$14:$C$112,C1262)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SUMIFS(RAB!$F$14:$F$112,RAB!$C$14:$C$112,C1263)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SUMIFS(RAB!$F$14:$F$112,RAB!$C$14:$C$112,C1264)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SUMIFS(RAB!$F$14:$F$112,RAB!$C$14:$C$112,C1265)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SUMIFS(RAB!$F$14:$F$112,RAB!$C$14:$C$112,C1266)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SUMIFS(RAB!$F$14:$F$112,RAB!$C$14:$C$112,C1267)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SUMIFS(RAB!$F$14:$F$112,RAB!$C$14:$C$112,C1268)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SUMIFS(RAB!$F$14:$F$112,RAB!$C$14:$C$112,C1269)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SUMIFS(RAB!$F$14:$F$112,RAB!$C$14:$C$112,C1270)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SUMIFS(RAB!$F$14:$F$112,RAB!$C$14:$C$112,C1271)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SUMIFS(RAB!$F$14:$F$112,RAB!$C$14:$C$112,C1272)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SUMIFS(RAB!$F$14:$F$112,RAB!$C$14:$C$112,C1273)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SUMIFS(RAB!$F$14:$F$112,RAB!$C$14:$C$112,C1274)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SUMIFS(RAB!$F$14:$F$112,RAB!$C$14:$C$112,C1275)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SUMIFS(RAB!$F$14:$F$112,RAB!$C$14:$C$112,C1276)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SUMIFS(RAB!$F$14:$F$112,RAB!$C$14:$C$112,C1277)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SUMIFS(RAB!$F$14:$F$112,RAB!$C$14:$C$112,C1278)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SUMIFS(RAB!$F$14:$F$112,RAB!$C$14:$C$112,C1279)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SUMIFS(RAB!$F$14:$F$112,RAB!$C$14:$C$112,C1280)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SUMIFS(RAB!$F$14:$F$112,RAB!$C$14:$C$112,C1281)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SUMIFS(RAB!$F$14:$F$112,RAB!$C$14:$C$112,C1282)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SUMIFS(RAB!$F$14:$F$112,RAB!$C$14:$C$112,C1283)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SUMIFS(RAB!$F$14:$F$112,RAB!$C$14:$C$112,C1284)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SUMIFS(RAB!$F$14:$F$112,RAB!$C$14:$C$112,C1285)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SUMIFS(RAB!$F$14:$F$112,RAB!$C$14:$C$112,C1286)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SUMIFS(RAB!$F$14:$F$112,RAB!$C$14:$C$112,C1287)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SUMIFS(RAB!$F$14:$F$112,RAB!$C$14:$C$112,C1288)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SUMIFS(RAB!$F$14:$F$112,RAB!$C$14:$C$112,C1289)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SUMIFS(RAB!$F$14:$F$112,RAB!$C$14:$C$112,C1290)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SUMIFS(RAB!$F$14:$F$112,RAB!$C$14:$C$112,C1291)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SUMIFS(RAB!$F$14:$F$112,RAB!$C$14:$C$112,C1292)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SUMIFS(RAB!$F$14:$F$112,RAB!$C$14:$C$112,C1293)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SUMIFS(RAB!$F$14:$F$112,RAB!$C$14:$C$112,C1294)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SUMIFS(RAB!$F$14:$F$112,RAB!$C$14:$C$112,C1295)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SUMIFS(RAB!$F$14:$F$112,RAB!$C$14:$C$112,C1296)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SUMIFS(RAB!$F$14:$F$112,RAB!$C$14:$C$112,C1297)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SUMIFS(RAB!$F$14:$F$112,RAB!$C$14:$C$112,C1298)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SUMIFS(RAB!$F$14:$F$112,RAB!$C$14:$C$112,C1299)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SUMIFS(RAB!$F$14:$F$112,RAB!$C$14:$C$112,C1300)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SUMIFS(RAB!$F$14:$F$112,RAB!$C$14:$C$112,C1301)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SUMIFS(RAB!$F$14:$F$112,RAB!$C$14:$C$112,C1302)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SUMIFS(RAB!$F$14:$F$112,RAB!$C$14:$C$112,C1303)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SUMIFS(RAB!$F$14:$F$112,RAB!$C$14:$C$112,C1304)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SUMIFS(RAB!$F$14:$F$112,RAB!$C$14:$C$112,C1305)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SUMIFS(RAB!$F$14:$F$112,RAB!$C$14:$C$112,C1306)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SUMIFS(RAB!$F$14:$F$112,RAB!$C$14:$C$112,C1307)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SUMIFS(RAB!$F$14:$F$112,RAB!$C$14:$C$112,C1308)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SUMIFS(RAB!$F$14:$F$112,RAB!$C$14:$C$112,C1309)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SUMIFS(RAB!$F$14:$F$112,RAB!$C$14:$C$112,C1310)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SUMIFS(RAB!$F$14:$F$112,RAB!$C$14:$C$112,C1311)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SUMIFS(RAB!$F$14:$F$112,RAB!$C$14:$C$112,C1312)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SUMIFS(RAB!$F$14:$F$112,RAB!$C$14:$C$112,C1313)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SUMIFS(RAB!$F$14:$F$112,RAB!$C$14:$C$112,C1314)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SUMIFS(RAB!$F$14:$F$112,RAB!$C$14:$C$112,C1315)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SUMIFS(RAB!$F$14:$F$112,RAB!$C$14:$C$112,C1316)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SUMIFS(RAB!$F$14:$F$112,RAB!$C$14:$C$112,C1317)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SUMIFS(RAB!$F$14:$F$112,RAB!$C$14:$C$112,C1318)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SUMIFS(RAB!$F$14:$F$112,RAB!$C$14:$C$112,C1319)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SUMIFS(RAB!$F$14:$F$112,RAB!$C$14:$C$112,C1320)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1127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3" t="str">
        <f>RAB!G6</f>
        <v xml:space="preserve">
IOH_14DMK0147WEDING_BONANG</v>
      </c>
      <c r="H6" s="563"/>
      <c r="I6" s="563"/>
      <c r="J6" s="563"/>
      <c r="K6" s="56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WEDING,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7" t="s">
        <v>41</v>
      </c>
      <c r="H11" s="545" t="s">
        <v>3</v>
      </c>
      <c r="I11" s="545"/>
      <c r="J11" s="545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46"/>
      <c r="E12" s="546"/>
      <c r="F12" s="546"/>
      <c r="G12" s="548"/>
      <c r="H12" s="554" t="s">
        <v>46</v>
      </c>
      <c r="I12" s="554" t="s">
        <v>5</v>
      </c>
      <c r="J12" s="546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46"/>
      <c r="E13" s="546"/>
      <c r="F13" s="546"/>
      <c r="G13" s="549"/>
      <c r="H13" s="555"/>
      <c r="I13" s="555"/>
      <c r="J13" s="546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4" t="s">
        <v>1008</v>
      </c>
      <c r="D38" s="564"/>
      <c r="E38" s="564"/>
      <c r="F38" s="564"/>
      <c r="G38" s="77" t="s">
        <v>9</v>
      </c>
      <c r="H38" s="55">
        <f ca="1">SUM(H14:H37)</f>
        <v>0</v>
      </c>
      <c r="I38" s="55">
        <f ca="1">SUM(I14:I37)</f>
        <v>11600000</v>
      </c>
      <c r="J38" s="55">
        <f ca="1">SUM(J14:J37)</f>
        <v>0</v>
      </c>
      <c r="K38" s="55">
        <f ca="1">SUM(K14:K37)</f>
        <v>11600000</v>
      </c>
      <c r="L38" s="44"/>
      <c r="R38" s="99"/>
      <c r="S38" s="99"/>
      <c r="T38" s="99"/>
    </row>
    <row r="39" spans="1:20" s="36" customFormat="1">
      <c r="A39" s="30"/>
      <c r="B39" s="56"/>
      <c r="C39" s="565" t="s">
        <v>462</v>
      </c>
      <c r="D39" s="565"/>
      <c r="E39" s="565"/>
      <c r="F39" s="565"/>
      <c r="G39" s="59" t="s">
        <v>9</v>
      </c>
      <c r="H39" s="60">
        <f ca="1">H38*0.1</f>
        <v>0</v>
      </c>
      <c r="I39" s="60">
        <f ca="1">I38*0.1</f>
        <v>1160000</v>
      </c>
      <c r="J39" s="60">
        <f ca="1">J38*0.1</f>
        <v>0</v>
      </c>
      <c r="K39" s="60">
        <f ca="1">K38*0.1</f>
        <v>1160000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6" t="s">
        <v>463</v>
      </c>
      <c r="D40" s="556"/>
      <c r="E40" s="556"/>
      <c r="F40" s="556"/>
      <c r="G40" s="61" t="s">
        <v>9</v>
      </c>
      <c r="H40" s="78">
        <f ca="1">SUM(H38:H39)</f>
        <v>0</v>
      </c>
      <c r="I40" s="78">
        <f ca="1">SUM(I38:I39)</f>
        <v>12760000</v>
      </c>
      <c r="J40" s="61">
        <f ca="1">SUM(J38:J39)</f>
        <v>0</v>
      </c>
      <c r="K40" s="61">
        <f ca="1">SUM(K38:K39)</f>
        <v>12760000</v>
      </c>
      <c r="L40" s="44"/>
      <c r="R40" s="99"/>
      <c r="S40" s="99"/>
      <c r="T40" s="99"/>
    </row>
    <row r="41" spans="1:20" s="36" customFormat="1">
      <c r="A41" s="30"/>
      <c r="B41" s="557" t="e">
        <f ca="1">"Terbilang : ( "&amp;L42&amp;" Rupiah )"</f>
        <v>#NAME?</v>
      </c>
      <c r="C41" s="558"/>
      <c r="D41" s="558"/>
      <c r="E41" s="558"/>
      <c r="F41" s="558"/>
      <c r="G41" s="558"/>
      <c r="H41" s="558"/>
      <c r="I41" s="558"/>
      <c r="J41" s="558"/>
      <c r="K41" s="559"/>
      <c r="L41" s="44"/>
      <c r="R41" s="58"/>
      <c r="S41" s="58"/>
      <c r="T41" s="58"/>
    </row>
    <row r="42" spans="1:20" s="36" customFormat="1">
      <c r="A42" s="30"/>
      <c r="B42" s="560"/>
      <c r="C42" s="561"/>
      <c r="D42" s="561"/>
      <c r="E42" s="561"/>
      <c r="F42" s="561"/>
      <c r="G42" s="561"/>
      <c r="H42" s="561"/>
      <c r="I42" s="561"/>
      <c r="J42" s="561"/>
      <c r="K42" s="56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1"/>
      <c r="I45" s="551"/>
      <c r="J45" s="552"/>
      <c r="K45" s="55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1"/>
      <c r="I46" s="551"/>
      <c r="J46" s="552"/>
      <c r="K46" s="55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1"/>
      <c r="I47" s="551"/>
      <c r="J47" s="552"/>
      <c r="K47" s="55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1"/>
      <c r="I52" s="551"/>
      <c r="J52" s="552"/>
      <c r="K52" s="55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SUMIFS(RAB!$F$14:$F$112,RAB!$C$14:$C$112,'REKAP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SUMIFS(RAB!$F$14:$F$112,RAB!$C$14:$C$112,'REKAP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SUMIFS(RAB!$F$14:$F$112,RAB!$C$14:$C$112,'REKAP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SUMIFS(RAB!$F$14:$F$112,RAB!$C$14:$C$112,'REKAP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SUMIFS(RAB!$F$14:$F$112,RAB!$C$14:$C$112,'REKAP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SUMIFS(RAB!$F$14:$F$112,RAB!$C$14:$C$112,'REKAP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SUMIFS(RAB!$F$14:$F$112,RAB!$C$14:$C$112,'REKAP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SUMIFS(RAB!$F$14:$F$112,RAB!$C$14:$C$112,'REKAP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SUMIFS(RAB!$F$14:$F$112,RAB!$C$14:$C$112,'REKAP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SUMIFS(RAB!$F$14:$F$112,RAB!$C$14:$C$112,'REKAP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SUMIFS(RAB!$F$14:$F$112,RAB!$C$14:$C$112,'REKAP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SUMIFS(RAB!$F$14:$F$112,RAB!$C$14:$C$112,'REKAP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SUMIFS(RAB!$F$14:$F$112,RAB!$C$14:$C$112,'REKAP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SUMIFS(RAB!$F$14:$F$112,RAB!$C$14:$C$112,'REKAP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SUMIFS(RAB!$F$14:$F$112,RAB!$C$14:$C$112,'REKAP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SUMIFS(RAB!$F$14:$F$112,RAB!$C$14:$C$112,'REKAP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SUMIFS(RAB!$F$14:$F$112,RAB!$C$14:$C$112,'REKAP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SUMIFS(RAB!$F$14:$F$112,RAB!$C$14:$C$112,'REKAP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SUMIFS(RAB!$F$14:$F$112,RAB!$C$14:$C$112,'REKAP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SUMIFS(RAB!$F$14:$F$112,RAB!$C$14:$C$112,'REKAP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1034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3" t="str">
        <f>RAB!G6</f>
        <v xml:space="preserve">
IOH_14DMK0147WEDING_BONANG</v>
      </c>
      <c r="H6" s="563"/>
      <c r="I6" s="563"/>
      <c r="J6" s="563"/>
      <c r="K6" s="56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WEDING,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42</v>
      </c>
      <c r="E11" s="545" t="s">
        <v>43</v>
      </c>
      <c r="F11" s="545" t="s">
        <v>2</v>
      </c>
      <c r="G11" s="547" t="s">
        <v>41</v>
      </c>
      <c r="H11" s="545" t="s">
        <v>3</v>
      </c>
      <c r="I11" s="545"/>
      <c r="J11" s="545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46"/>
      <c r="E12" s="546"/>
      <c r="F12" s="546"/>
      <c r="G12" s="548"/>
      <c r="H12" s="554" t="s">
        <v>46</v>
      </c>
      <c r="I12" s="554" t="s">
        <v>5</v>
      </c>
      <c r="J12" s="546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46"/>
      <c r="E13" s="546"/>
      <c r="F13" s="546"/>
      <c r="G13" s="549"/>
      <c r="H13" s="555"/>
      <c r="I13" s="555"/>
      <c r="J13" s="546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Pin Post ) 20 KV Porcelein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1</v>
      </c>
      <c r="G20" s="41">
        <f ca="1">IF(ISERROR(OFFSET('HARGA SATUAN'!$I$6,MATCH(C20,'HARGA SATUAN'!$C$7:$C$1492,0),0)),"",OFFSET('HARGA SATUAN'!$I$6,MATCH(C20,'HARGA SATUAN'!$C$7:$C$1492,0),0))</f>
        <v>235900</v>
      </c>
      <c r="H20" s="42">
        <f t="shared" ca="1" si="1"/>
        <v>235900</v>
      </c>
      <c r="I20" s="42">
        <f t="shared" ca="1" si="2"/>
        <v>0</v>
      </c>
      <c r="J20" s="42">
        <f t="shared" ca="1" si="3"/>
        <v>0</v>
      </c>
      <c r="K20" s="43">
        <f t="shared" ca="1" si="0"/>
        <v>235900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28400</v>
      </c>
      <c r="I21" s="42">
        <f t="shared" ca="1" si="2"/>
        <v>0</v>
      </c>
      <c r="J21" s="42">
        <f t="shared" ca="1" si="3"/>
        <v>0</v>
      </c>
      <c r="K21" s="43">
        <f t="shared" ca="1" si="0"/>
        <v>28400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285</v>
      </c>
      <c r="G22" s="41">
        <f ca="1">IF(ISERROR(OFFSET('HARGA SATUAN'!$I$6,MATCH(C22,'HARGA SATUAN'!$C$7:$C$1492,0),0)),"",OFFSET('HARGA SATUAN'!$I$6,MATCH(C22,'HARGA SATUAN'!$C$7:$C$1492,0),0))</f>
        <v>53300</v>
      </c>
      <c r="H22" s="42">
        <f t="shared" ca="1" si="1"/>
        <v>15190500</v>
      </c>
      <c r="I22" s="42">
        <f t="shared" ca="1" si="2"/>
        <v>0</v>
      </c>
      <c r="J22" s="42">
        <f t="shared" ca="1" si="3"/>
        <v>0</v>
      </c>
      <c r="K22" s="43">
        <f t="shared" ca="1" si="0"/>
        <v>15190500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6600</v>
      </c>
      <c r="H23" s="42">
        <f t="shared" ca="1" si="1"/>
        <v>231000</v>
      </c>
      <c r="I23" s="42">
        <f t="shared" ca="1" si="2"/>
        <v>0</v>
      </c>
      <c r="J23" s="42">
        <f t="shared" ca="1" si="3"/>
        <v>0</v>
      </c>
      <c r="K23" s="43">
        <f t="shared" ca="1" si="0"/>
        <v>231000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4" t="s">
        <v>1008</v>
      </c>
      <c r="D168" s="564"/>
      <c r="E168" s="564"/>
      <c r="F168" s="564"/>
      <c r="G168" s="77" t="s">
        <v>9</v>
      </c>
      <c r="H168" s="55">
        <f ca="1">SUM(H14:H167)</f>
        <v>46159200</v>
      </c>
      <c r="I168" s="55">
        <f ca="1">SUM(I14:I167)</f>
        <v>0</v>
      </c>
      <c r="J168" s="55">
        <f ca="1">SUM(J14:J167)</f>
        <v>0</v>
      </c>
      <c r="K168" s="55">
        <f ca="1">SUM(K14:K167)</f>
        <v>46159200</v>
      </c>
      <c r="L168" s="44"/>
      <c r="R168" s="99"/>
      <c r="S168" s="99"/>
      <c r="T168" s="99"/>
    </row>
    <row r="169" spans="1:20" s="36" customFormat="1">
      <c r="A169" s="30"/>
      <c r="B169" s="56"/>
      <c r="C169" s="565" t="s">
        <v>462</v>
      </c>
      <c r="D169" s="565"/>
      <c r="E169" s="565"/>
      <c r="F169" s="565"/>
      <c r="G169" s="59" t="s">
        <v>9</v>
      </c>
      <c r="H169" s="60">
        <f ca="1">H168*0.1</f>
        <v>4615920</v>
      </c>
      <c r="I169" s="60">
        <f ca="1">I168*0.1</f>
        <v>0</v>
      </c>
      <c r="J169" s="60">
        <f ca="1">J168*0.1</f>
        <v>0</v>
      </c>
      <c r="K169" s="60">
        <f ca="1">K168*0.1</f>
        <v>4615920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6" t="s">
        <v>463</v>
      </c>
      <c r="D170" s="556"/>
      <c r="E170" s="556"/>
      <c r="F170" s="556"/>
      <c r="G170" s="61" t="s">
        <v>9</v>
      </c>
      <c r="H170" s="78">
        <f ca="1">SUM(H168:H169)</f>
        <v>50775120</v>
      </c>
      <c r="I170" s="78">
        <f ca="1">SUM(I168:I169)</f>
        <v>0</v>
      </c>
      <c r="J170" s="61">
        <f ca="1">SUM(J168:J169)</f>
        <v>0</v>
      </c>
      <c r="K170" s="61">
        <f ca="1">SUM(K168:K169)</f>
        <v>50775120</v>
      </c>
      <c r="L170" s="44"/>
      <c r="R170" s="99"/>
      <c r="S170" s="99"/>
      <c r="T170" s="99"/>
    </row>
    <row r="171" spans="1:20" s="36" customFormat="1">
      <c r="A171" s="30"/>
      <c r="B171" s="557" t="e">
        <f ca="1">"Terbilang : ( "&amp;L172&amp;" Rupiah )"</f>
        <v>#NAME?</v>
      </c>
      <c r="C171" s="558"/>
      <c r="D171" s="558"/>
      <c r="E171" s="558"/>
      <c r="F171" s="558"/>
      <c r="G171" s="558"/>
      <c r="H171" s="558"/>
      <c r="I171" s="558"/>
      <c r="J171" s="558"/>
      <c r="K171" s="559"/>
      <c r="L171" s="44"/>
      <c r="R171" s="58"/>
      <c r="S171" s="58"/>
      <c r="T171" s="58"/>
    </row>
    <row r="172" spans="1:20" s="36" customFormat="1">
      <c r="A172" s="30"/>
      <c r="B172" s="560"/>
      <c r="C172" s="561"/>
      <c r="D172" s="561"/>
      <c r="E172" s="561"/>
      <c r="F172" s="561"/>
      <c r="G172" s="561"/>
      <c r="H172" s="561"/>
      <c r="I172" s="561"/>
      <c r="J172" s="561"/>
      <c r="K172" s="56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1"/>
      <c r="I175" s="551"/>
      <c r="J175" s="552"/>
      <c r="K175" s="55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1"/>
      <c r="I176" s="551"/>
      <c r="J176" s="552"/>
      <c r="K176" s="55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1"/>
      <c r="I177" s="551"/>
      <c r="J177" s="552"/>
      <c r="K177" s="55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1"/>
      <c r="I182" s="551"/>
      <c r="J182" s="552"/>
      <c r="K182" s="55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SUMIFS(RAB!$F$14:$F$112,RAB!$C$14:$C$112,C224)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SUMIFS(RAB!$F$14:$F$112,RAB!$C$14:$C$112,C225)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SUMIFS(RAB!$F$14:$F$112,RAB!$C$14:$C$112,C226)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SUMIFS(RAB!$F$14:$F$112,RAB!$C$14:$C$112,C227)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SUMIFS(RAB!$F$14:$F$112,RAB!$C$14:$C$112,C228)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SUMIFS(RAB!$F$14:$F$112,RAB!$C$14:$C$112,C229)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SUMIFS(RAB!$F$14:$F$112,RAB!$C$14:$C$112,C230)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SUMIFS(RAB!$F$14:$F$112,RAB!$C$14:$C$112,C231)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SUMIFS(RAB!$F$14:$F$112,RAB!$C$14:$C$112,C232)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SUMIFS(RAB!$F$14:$F$112,RAB!$C$14:$C$112,C233)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SUMIFS(RAB!$F$14:$F$112,RAB!$C$14:$C$112,C234)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SUMIFS(RAB!$F$14:$F$112,RAB!$C$14:$C$112,C235)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SUMIFS(RAB!$F$14:$F$112,RAB!$C$14:$C$112,C236)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SUMIFS(RAB!$F$14:$F$112,RAB!$C$14:$C$112,C237)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SUMIFS(RAB!$F$14:$F$112,RAB!$C$14:$C$112,C238)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SUMIFS(RAB!$F$14:$F$112,RAB!$C$14:$C$112,C239)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SUMIFS(RAB!$F$14:$F$112,RAB!$C$14:$C$112,C240)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SUMIFS(RAB!$F$14:$F$112,RAB!$C$14:$C$112,C241)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SUMIFS(RAB!$F$14:$F$112,RAB!$C$14:$C$112,C242)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SUMIFS(RAB!$F$14:$F$112,RAB!$C$14:$C$112,C243)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SUMIFS(RAB!$F$14:$F$112,RAB!$C$14:$C$112,C244)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SUMIFS(RAB!$F$14:$F$112,RAB!$C$14:$C$112,C245)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SUMIFS(RAB!$F$14:$F$112,RAB!$C$14:$C$112,C246)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SUMIFS(RAB!$F$14:$F$112,RAB!$C$14:$C$112,C247)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SUMIFS(RAB!$F$14:$F$112,RAB!$C$14:$C$112,C248)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SUMIFS(RAB!$F$14:$F$112,RAB!$C$14:$C$112,C249)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SUMIFS(RAB!$F$14:$F$112,RAB!$C$14:$C$112,C250)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SUMIFS(RAB!$F$14:$F$112,RAB!$C$14:$C$112,C251)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SUMIFS(RAB!$F$14:$F$112,RAB!$C$14:$C$112,C252)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SUMIFS(RAB!$F$14:$F$112,RAB!$C$14:$C$112,C253)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SUMIFS(RAB!$F$14:$F$112,RAB!$C$14:$C$112,C254)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SUMIFS(RAB!$F$14:$F$112,RAB!$C$14:$C$112,C255)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SUMIFS(RAB!$F$14:$F$112,RAB!$C$14:$C$112,C256)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SUMIFS(RAB!$F$14:$F$112,RAB!$C$14:$C$112,C257)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SUMIFS(RAB!$F$14:$F$112,RAB!$C$14:$C$112,C258)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SUMIFS(RAB!$F$14:$F$112,RAB!$C$14:$C$112,C259)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SUMIFS(RAB!$F$14:$F$112,RAB!$C$14:$C$112,C260)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SUMIFS(RAB!$F$14:$F$112,RAB!$C$14:$C$112,C261)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SUMIFS(RAB!$F$14:$F$112,RAB!$C$14:$C$112,C262)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SUMIFS(RAB!$F$14:$F$112,RAB!$C$14:$C$112,C263)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SUMIFS(RAB!$F$14:$F$112,RAB!$C$14:$C$112,C264)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SUMIFS(RAB!$F$14:$F$112,RAB!$C$14:$C$112,C265)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SUMIFS(RAB!$F$14:$F$112,RAB!$C$14:$C$112,C266)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SUMIFS(RAB!$F$14:$F$112,RAB!$C$14:$C$112,C267)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SUMIFS(RAB!$F$14:$F$112,RAB!$C$14:$C$112,C268)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SUMIFS(RAB!$F$14:$F$112,RAB!$C$14:$C$112,C269)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SUMIFS(RAB!$F$14:$F$112,RAB!$C$14:$C$112,C270)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SUMIFS(RAB!$F$14:$F$112,RAB!$C$14:$C$112,C271)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SUMIFS(RAB!$F$14:$F$112,RAB!$C$14:$C$112,C272)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SUMIFS(RAB!$F$14:$F$112,RAB!$C$14:$C$112,C273)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SUMIFS(RAB!$F$14:$F$112,RAB!$C$14:$C$112,C274)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SUMIFS(RAB!$F$14:$F$112,RAB!$C$14:$C$112,C275)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SUMIFS(RAB!$F$14:$F$112,RAB!$C$14:$C$112,C276)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SUMIFS(RAB!$F$14:$F$112,RAB!$C$14:$C$112,C277)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SUMIFS(RAB!$F$14:$F$112,RAB!$C$14:$C$112,C278)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SUMIFS(RAB!$F$14:$F$112,RAB!$C$14:$C$112,C279)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SUMIFS(RAB!$F$14:$F$112,RAB!$C$14:$C$112,C280)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SUMIFS(RAB!$F$14:$F$112,RAB!$C$14:$C$112,C281)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SUMIFS(RAB!$F$14:$F$112,RAB!$C$14:$C$112,C282)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SUMIFS(RAB!$F$14:$F$112,RAB!$C$14:$C$112,C283)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SUMIFS(RAB!$F$14:$F$112,RAB!$C$14:$C$112,C284)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SUMIFS(RAB!$F$14:$F$112,RAB!$C$14:$C$112,C285)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SUMIFS(RAB!$F$14:$F$112,RAB!$C$14:$C$112,C286)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SUMIFS(RAB!$F$14:$F$112,RAB!$C$14:$C$112,C287)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SUMIFS(RAB!$F$14:$F$112,RAB!$C$14:$C$112,C288)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SUMIFS(RAB!$F$14:$F$112,RAB!$C$14:$C$112,C289)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SUMIFS(RAB!$F$14:$F$112,RAB!$C$14:$C$112,C290)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SUMIFS(RAB!$F$14:$F$112,RAB!$C$14:$C$112,C291)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SUMIFS(RAB!$F$14:$F$112,RAB!$C$14:$C$112,C292)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SUMIFS(RAB!$F$14:$F$112,RAB!$C$14:$C$112,C293)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SUMIFS(RAB!$F$14:$F$112,RAB!$C$14:$C$112,C294)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SUMIFS(RAB!$F$14:$F$112,RAB!$C$14:$C$112,C295)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SUMIFS(RAB!$F$14:$F$112,RAB!$C$14:$C$112,C296)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SUMIFS(RAB!$F$14:$F$112,RAB!$C$14:$C$112,C297)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SUMIFS(RAB!$F$14:$F$112,RAB!$C$14:$C$112,C298)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SUMIFS(RAB!$F$14:$F$112,RAB!$C$14:$C$112,C299)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SUMIFS(RAB!$F$14:$F$112,RAB!$C$14:$C$112,C300)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SUMIFS(RAB!$F$14:$F$112,RAB!$C$14:$C$112,C301)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SUMIFS(RAB!$F$14:$F$112,RAB!$C$14:$C$112,C302)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SUMIFS(RAB!$F$14:$F$112,RAB!$C$14:$C$112,C303)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SUMIFS(RAB!$F$14:$F$112,RAB!$C$14:$C$112,C304)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SUMIFS(RAB!$F$14:$F$112,RAB!$C$14:$C$112,C305)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SUMIFS(RAB!$F$14:$F$112,RAB!$C$14:$C$112,C306)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SUMIFS(RAB!$F$14:$F$112,RAB!$C$14:$C$112,C307)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SUMIFS(RAB!$F$14:$F$112,RAB!$C$14:$C$112,C308)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SUMIFS(RAB!$F$14:$F$112,RAB!$C$14:$C$112,C309)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SUMIFS(RAB!$F$14:$F$112,RAB!$C$14:$C$112,C310)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SUMIFS(RAB!$F$14:$F$112,RAB!$C$14:$C$112,C311)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SUMIFS(RAB!$F$14:$F$112,RAB!$C$14:$C$112,C312)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SUMIFS(RAB!$F$14:$F$112,RAB!$C$14:$C$112,C313)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SUMIFS(RAB!$F$14:$F$112,RAB!$C$14:$C$112,C314)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SUMIFS(RAB!$F$14:$F$112,RAB!$C$14:$C$112,C315)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SUMIFS(RAB!$F$14:$F$112,RAB!$C$14:$C$112,C316)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SUMIFS(RAB!$F$14:$F$112,RAB!$C$14:$C$112,C317)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SUMIFS(RAB!$F$14:$F$112,RAB!$C$14:$C$112,C318)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SUMIFS(RAB!$F$14:$F$112,RAB!$C$14:$C$112,C319)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SUMIFS(RAB!$F$14:$F$112,RAB!$C$14:$C$112,C320)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SUMIFS(RAB!$F$14:$F$112,RAB!$C$14:$C$112,C321)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SUMIFS(RAB!$F$14:$F$112,RAB!$C$14:$C$112,C322)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SUMIFS(RAB!$F$14:$F$112,RAB!$C$14:$C$112,C323)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SUMIFS(RAB!$F$14:$F$112,RAB!$C$14:$C$112,C324)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SUMIFS(RAB!$F$14:$F$112,RAB!$C$14:$C$112,C325)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SUMIFS(RAB!$F$14:$F$112,RAB!$C$14:$C$112,C326)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SUMIFS(RAB!$F$14:$F$112,RAB!$C$14:$C$112,C327)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SUMIFS(RAB!$F$14:$F$112,RAB!$C$14:$C$112,C328)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SUMIFS(RAB!$F$14:$F$112,RAB!$C$14:$C$112,C329)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SUMIFS(RAB!$F$14:$F$112,RAB!$C$14:$C$112,C330)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SUMIFS(RAB!$F$14:$F$112,RAB!$C$14:$C$112,C331)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SUMIFS(RAB!$F$14:$F$112,RAB!$C$14:$C$112,C332)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SUMIFS(RAB!$F$14:$F$112,RAB!$C$14:$C$112,C333)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SUMIFS(RAB!$F$14:$F$112,RAB!$C$14:$C$112,C334)</f>
        <v>1</v>
      </c>
      <c r="E334" s="24">
        <f t="shared" ca="1" si="22"/>
        <v>1</v>
      </c>
      <c r="F334" s="24">
        <f ca="1">IF(D334=0,0,SUM($E$223:E334))</f>
        <v>5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SUMIFS(RAB!$F$14:$F$112,RAB!$C$14:$C$112,C335)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SUMIFS(RAB!$F$14:$F$112,RAB!$C$14:$C$112,C336)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SUMIFS(RAB!$F$14:$F$112,RAB!$C$14:$C$112,C337)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SUMIFS(RAB!$F$14:$F$112,RAB!$C$14:$C$112,C338)</f>
        <v>2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SUMIFS(RAB!$F$14:$F$112,RAB!$C$14:$C$112,C339)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SUMIFS(RAB!$F$14:$F$112,RAB!$C$14:$C$112,C340)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SUMIFS(RAB!$F$14:$F$112,RAB!$C$14:$C$112,C341)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SUMIFS(RAB!$F$14:$F$112,RAB!$C$14:$C$112,C342)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SUMIFS(RAB!$F$14:$F$112,RAB!$C$14:$C$112,C343)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SUMIFS(RAB!$F$14:$F$112,RAB!$C$14:$C$112,C344)</f>
        <v>285</v>
      </c>
      <c r="E344" s="24">
        <f t="shared" ca="1" si="22"/>
        <v>1</v>
      </c>
      <c r="F344" s="24">
        <f ca="1">IF(D344=0,0,SUM($E$223:E344))</f>
        <v>7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SUMIFS(RAB!$F$14:$F$112,RAB!$C$14:$C$112,C345)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SUMIFS(RAB!$F$14:$F$112,RAB!$C$14:$C$112,C346)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SUMIFS(RAB!$F$14:$F$112,RAB!$C$14:$C$112,C347)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SUMIFS(RAB!$F$14:$F$112,RAB!$C$14:$C$112,C348)</f>
        <v>35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SUMIFS(RAB!$F$14:$F$112,RAB!$C$14:$C$112,C349)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SUMIFS(RAB!$F$14:$F$112,RAB!$C$14:$C$112,C350)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SUMIFS(RAB!$F$14:$F$112,RAB!$C$14:$C$112,C351)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SUMIFS(RAB!$F$14:$F$112,RAB!$C$14:$C$112,C352)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SUMIFS(RAB!$F$14:$F$112,RAB!$C$14:$C$112,C353)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SUMIFS(RAB!$F$14:$F$112,RAB!$C$14:$C$112,C354)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SUMIFS(RAB!$F$14:$F$112,RAB!$C$14:$C$112,C355)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SUMIFS(RAB!$F$14:$F$112,RAB!$C$14:$C$112,C356)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SUMIFS(RAB!$F$14:$F$112,RAB!$C$14:$C$112,C357)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SUMIFS(RAB!$F$14:$F$112,RAB!$C$14:$C$112,C358)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SUMIFS(RAB!$F$14:$F$112,RAB!$C$14:$C$112,C359)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SUMIFS(RAB!$F$14:$F$112,RAB!$C$14:$C$112,C360)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SUMIFS(RAB!$F$14:$F$112,RAB!$C$14:$C$112,C361)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SUMIFS(RAB!$F$14:$F$112,RAB!$C$14:$C$112,C362)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SUMIFS(RAB!$F$14:$F$112,RAB!$C$14:$C$112,C363)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SUMIFS(RAB!$F$14:$F$112,RAB!$C$14:$C$112,C364)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SUMIFS(RAB!$F$14:$F$112,RAB!$C$14:$C$112,C365)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SUMIFS(RAB!$F$14:$F$112,RAB!$C$14:$C$112,C366)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SUMIFS(RAB!$F$14:$F$112,RAB!$C$14:$C$112,C367)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SUMIFS(RAB!$F$14:$F$112,RAB!$C$14:$C$112,C368)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SUMIFS(RAB!$F$14:$F$112,RAB!$C$14:$C$112,C369)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SUMIFS(RAB!$F$14:$F$112,RAB!$C$14:$C$112,C370)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SUMIFS(RAB!$F$14:$F$112,RAB!$C$14:$C$112,C371)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SUMIFS(RAB!$F$14:$F$112,RAB!$C$14:$C$112,C372)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SUMIFS(RAB!$F$14:$F$112,RAB!$C$14:$C$112,C373)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14" sqref="C2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7" t="s">
        <v>41</v>
      </c>
      <c r="C2" s="56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8" t="s">
        <v>23</v>
      </c>
      <c r="C4" s="569" t="s">
        <v>1012</v>
      </c>
      <c r="D4" s="569" t="s">
        <v>42</v>
      </c>
      <c r="E4" s="568" t="s">
        <v>43</v>
      </c>
      <c r="F4" s="108" t="s">
        <v>1604</v>
      </c>
      <c r="G4" s="108" t="s">
        <v>1603</v>
      </c>
      <c r="H4" s="56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8"/>
      <c r="C5" s="569"/>
      <c r="D5" s="569"/>
      <c r="E5" s="568"/>
      <c r="F5" s="93"/>
      <c r="G5" s="93"/>
      <c r="H5" s="566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601" t="s">
        <v>1454</v>
      </c>
      <c r="C2" s="601"/>
      <c r="D2" s="601"/>
      <c r="E2" s="60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6" t="s">
        <v>1532</v>
      </c>
      <c r="C4" s="607"/>
      <c r="D4" s="607"/>
      <c r="E4" s="608"/>
      <c r="F4" s="442"/>
      <c r="G4" s="442"/>
      <c r="H4" s="443"/>
      <c r="I4" s="570" t="s">
        <v>1533</v>
      </c>
      <c r="J4" s="571"/>
      <c r="K4" s="571"/>
      <c r="L4" s="572"/>
    </row>
    <row r="5" spans="1:12" ht="34.5" customHeight="1">
      <c r="A5" s="204"/>
      <c r="B5" s="445" t="s">
        <v>1379</v>
      </c>
      <c r="C5" s="277" t="s">
        <v>9</v>
      </c>
      <c r="D5" s="602" t="str">
        <f>DATA!D14</f>
        <v xml:space="preserve">
IOH_14DMK0147WEDING_BONANG</v>
      </c>
      <c r="E5" s="603"/>
      <c r="F5" s="208"/>
      <c r="G5" s="208"/>
      <c r="I5" s="446" t="s">
        <v>1379</v>
      </c>
      <c r="J5" s="277" t="s">
        <v>9</v>
      </c>
      <c r="K5" s="573" t="str">
        <f>D5</f>
        <v xml:space="preserve">
IOH_14DMK0147WEDING_BONANG</v>
      </c>
      <c r="L5" s="574"/>
    </row>
    <row r="6" spans="1:12" ht="31.5" customHeight="1">
      <c r="A6" s="204"/>
      <c r="B6" s="445" t="s">
        <v>1529</v>
      </c>
      <c r="C6" s="277" t="s">
        <v>9</v>
      </c>
      <c r="D6" s="611">
        <f>DATA!D17*1000</f>
        <v>0</v>
      </c>
      <c r="E6" s="612"/>
      <c r="F6" s="208"/>
      <c r="G6" s="208"/>
      <c r="I6" s="446" t="s">
        <v>1530</v>
      </c>
      <c r="J6" s="277" t="s">
        <v>9</v>
      </c>
      <c r="K6" s="575">
        <f>DATA!D20*1000</f>
        <v>11000</v>
      </c>
      <c r="L6" s="576"/>
    </row>
    <row r="7" spans="1:12" ht="30.75" customHeight="1">
      <c r="A7" s="204"/>
      <c r="B7" s="445" t="s">
        <v>1441</v>
      </c>
      <c r="C7" s="277" t="s">
        <v>9</v>
      </c>
      <c r="D7" s="609">
        <f>DATA!D18</f>
        <v>1</v>
      </c>
      <c r="E7" s="610"/>
      <c r="F7" s="444" t="s">
        <v>1453</v>
      </c>
      <c r="I7" s="446" t="s">
        <v>1441</v>
      </c>
      <c r="J7" s="277" t="s">
        <v>9</v>
      </c>
      <c r="K7" s="577">
        <f>DATA!D21</f>
        <v>1</v>
      </c>
      <c r="L7" s="578"/>
    </row>
    <row r="8" spans="1:12" ht="51" customHeight="1">
      <c r="A8" s="204"/>
      <c r="B8" s="445" t="s">
        <v>1442</v>
      </c>
      <c r="C8" s="277" t="s">
        <v>9</v>
      </c>
      <c r="D8" s="609">
        <f>DATA!D19</f>
        <v>220</v>
      </c>
      <c r="E8" s="610"/>
      <c r="F8" s="444" t="s">
        <v>1453</v>
      </c>
      <c r="G8" s="439">
        <v>220</v>
      </c>
      <c r="I8" s="446" t="s">
        <v>1442</v>
      </c>
      <c r="J8" s="277" t="s">
        <v>9</v>
      </c>
      <c r="K8" s="577">
        <f>DATA!D22</f>
        <v>220</v>
      </c>
      <c r="L8" s="578"/>
    </row>
    <row r="9" spans="1:12" ht="30" customHeight="1" thickBot="1">
      <c r="A9" s="204"/>
      <c r="B9" s="451" t="s">
        <v>1541</v>
      </c>
      <c r="C9" s="441" t="s">
        <v>9</v>
      </c>
      <c r="D9" s="604">
        <f>IF(D7=1,D6/(380/3^0.5),(D6/(380*3^0.5)))</f>
        <v>0</v>
      </c>
      <c r="E9" s="605"/>
      <c r="F9" s="207"/>
      <c r="G9" s="440">
        <v>380</v>
      </c>
      <c r="I9" s="452" t="s">
        <v>1541</v>
      </c>
      <c r="J9" s="441" t="s">
        <v>9</v>
      </c>
      <c r="K9" s="581">
        <f>IF(K7=1,K6/(380/3^0.5),(K6/(380*3^0.5)))</f>
        <v>50.138312850678027</v>
      </c>
      <c r="L9" s="58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13"/>
      <c r="E12" s="614"/>
      <c r="F12" s="208"/>
      <c r="G12" s="208"/>
      <c r="I12" s="468" t="s">
        <v>1534</v>
      </c>
      <c r="J12" s="469" t="s">
        <v>9</v>
      </c>
      <c r="K12" s="613"/>
      <c r="L12" s="614"/>
    </row>
    <row r="13" spans="1:12" ht="31.5" customHeight="1">
      <c r="A13" s="204"/>
      <c r="B13" s="476" t="s">
        <v>1380</v>
      </c>
      <c r="C13" s="456" t="s">
        <v>9</v>
      </c>
      <c r="D13" s="579"/>
      <c r="E13" s="580"/>
      <c r="F13" s="208"/>
      <c r="G13" s="208"/>
      <c r="I13" s="470" t="s">
        <v>1380</v>
      </c>
      <c r="J13" s="456" t="s">
        <v>9</v>
      </c>
      <c r="K13" s="579"/>
      <c r="L13" s="580"/>
    </row>
    <row r="14" spans="1:12" ht="30.75" customHeight="1">
      <c r="A14" s="204"/>
      <c r="B14" s="476" t="s">
        <v>1535</v>
      </c>
      <c r="C14" s="456" t="s">
        <v>9</v>
      </c>
      <c r="D14" s="583"/>
      <c r="E14" s="584"/>
      <c r="F14" s="444" t="s">
        <v>1453</v>
      </c>
      <c r="G14" s="448">
        <v>50</v>
      </c>
      <c r="I14" s="470" t="s">
        <v>1535</v>
      </c>
      <c r="J14" s="456" t="s">
        <v>9</v>
      </c>
      <c r="K14" s="585"/>
      <c r="L14" s="586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7">
        <v>0</v>
      </c>
      <c r="E16" s="588"/>
      <c r="F16" s="444"/>
      <c r="G16" s="448">
        <v>160</v>
      </c>
      <c r="I16" s="470" t="s">
        <v>1537</v>
      </c>
      <c r="J16" s="456" t="s">
        <v>9</v>
      </c>
      <c r="K16" s="591">
        <f>K9</f>
        <v>50.138312850678027</v>
      </c>
      <c r="L16" s="592"/>
    </row>
    <row r="17" spans="1:12" ht="34.5" customHeight="1">
      <c r="A17" s="204"/>
      <c r="B17" s="476" t="s">
        <v>1538</v>
      </c>
      <c r="C17" s="456" t="s">
        <v>9</v>
      </c>
      <c r="D17" s="589">
        <f>IF(D15=1,D14/(20/3^0.5),(D14/(20*3^0.5)))</f>
        <v>0</v>
      </c>
      <c r="E17" s="590"/>
      <c r="F17" s="444" t="s">
        <v>1453</v>
      </c>
      <c r="G17" s="449">
        <v>200</v>
      </c>
      <c r="I17" s="470" t="s">
        <v>1538</v>
      </c>
      <c r="J17" s="456" t="s">
        <v>9</v>
      </c>
      <c r="K17" s="595">
        <f>IF(K15=1,K14/(20/3^0.5),(K14/(20*3^0.5)))</f>
        <v>0</v>
      </c>
      <c r="L17" s="596"/>
    </row>
    <row r="18" spans="1:12" ht="34.5" customHeight="1">
      <c r="A18" s="204"/>
      <c r="B18" s="476" t="s">
        <v>1539</v>
      </c>
      <c r="C18" s="456" t="s">
        <v>9</v>
      </c>
      <c r="D18" s="589">
        <f>IF(D15=1,D14/(380/3^0.5),(D14/(380*3^0.5)))*1000</f>
        <v>0</v>
      </c>
      <c r="E18" s="590"/>
      <c r="F18" s="444" t="s">
        <v>1453</v>
      </c>
      <c r="G18" s="449">
        <v>250</v>
      </c>
      <c r="I18" s="470" t="s">
        <v>1539</v>
      </c>
      <c r="J18" s="456" t="s">
        <v>9</v>
      </c>
      <c r="K18" s="595">
        <f>IF(K15=1,K14/(380/3^0.5),(K14/(380*3^0.5)))*1000</f>
        <v>0</v>
      </c>
      <c r="L18" s="596"/>
    </row>
    <row r="19" spans="1:12" ht="30" customHeight="1">
      <c r="A19" s="204"/>
      <c r="B19" s="477" t="s">
        <v>1531</v>
      </c>
      <c r="C19" s="455" t="s">
        <v>9</v>
      </c>
      <c r="D19" s="589">
        <f>IF(D15=1,D14/(380/3^0.5),(D14/(380*3^0.5)))</f>
        <v>0</v>
      </c>
      <c r="E19" s="590"/>
      <c r="F19" s="207"/>
      <c r="G19" s="440"/>
      <c r="I19" s="472" t="s">
        <v>1531</v>
      </c>
      <c r="J19" s="455" t="s">
        <v>9</v>
      </c>
      <c r="K19" s="595">
        <f>IF(K15=1,K14/(380/3^0.5),(K14/(380*3^0.5)))</f>
        <v>0</v>
      </c>
      <c r="L19" s="596"/>
    </row>
    <row r="20" spans="1:12" ht="30" customHeight="1" thickBot="1">
      <c r="A20" s="204"/>
      <c r="B20" s="478" t="s">
        <v>1540</v>
      </c>
      <c r="C20" s="474" t="s">
        <v>9</v>
      </c>
      <c r="D20" s="615" t="e">
        <f>D16/D18</f>
        <v>#DIV/0!</v>
      </c>
      <c r="E20" s="616"/>
      <c r="F20" s="207"/>
      <c r="G20" s="440"/>
      <c r="I20" s="473" t="s">
        <v>1531</v>
      </c>
      <c r="J20" s="474" t="s">
        <v>9</v>
      </c>
      <c r="K20" s="593" t="e">
        <f>K16/K18</f>
        <v>#DIV/0!</v>
      </c>
      <c r="L20" s="594"/>
    </row>
    <row r="21" spans="1:12" ht="9.75" customHeight="1">
      <c r="A21" s="204"/>
      <c r="B21" s="463" t="s">
        <v>1540</v>
      </c>
      <c r="C21" s="464" t="s">
        <v>9</v>
      </c>
      <c r="D21" s="600">
        <v>1</v>
      </c>
      <c r="E21" s="600"/>
      <c r="F21" s="465"/>
      <c r="G21" s="466"/>
      <c r="H21" s="467"/>
      <c r="I21" s="463" t="s">
        <v>1531</v>
      </c>
      <c r="J21" s="464" t="s">
        <v>9</v>
      </c>
      <c r="K21" s="600">
        <v>1</v>
      </c>
      <c r="L21" s="600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7"/>
      <c r="C24" s="598"/>
      <c r="D24" s="598"/>
      <c r="E24" s="599"/>
      <c r="I24" s="597"/>
      <c r="J24" s="598"/>
      <c r="K24" s="598"/>
      <c r="L24" s="599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7"/>
      <c r="C1" s="617"/>
      <c r="D1" s="61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RAB!K118</f>
        <v>71275935.946400002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1425518.718928</v>
      </c>
    </row>
    <row r="12" spans="2:11" ht="9" customHeight="1">
      <c r="B12" s="618"/>
      <c r="C12" s="618"/>
      <c r="D12" s="618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1648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5" t="s">
        <v>1357</v>
      </c>
      <c r="C3" s="625"/>
      <c r="D3" s="625"/>
      <c r="E3" s="625"/>
      <c r="F3" s="305" t="str">
        <f>DATA!D14</f>
        <v xml:space="preserve">
IOH_14DMK0147WEDING_BONANG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9" t="s">
        <v>1349</v>
      </c>
      <c r="C5" s="619" t="s">
        <v>1358</v>
      </c>
      <c r="D5" s="624" t="s">
        <v>1359</v>
      </c>
      <c r="E5" s="624" t="s">
        <v>1360</v>
      </c>
      <c r="F5" s="619" t="s">
        <v>1361</v>
      </c>
      <c r="G5" s="619"/>
      <c r="H5" s="619"/>
      <c r="I5" s="619"/>
      <c r="J5" s="619"/>
      <c r="K5" s="619" t="s">
        <v>1362</v>
      </c>
      <c r="L5" s="619"/>
      <c r="M5" s="307"/>
      <c r="N5" s="622" t="s">
        <v>1363</v>
      </c>
      <c r="O5" s="624" t="s">
        <v>1364</v>
      </c>
      <c r="P5" s="624" t="s">
        <v>1365</v>
      </c>
      <c r="Q5" s="624" t="s">
        <v>1366</v>
      </c>
      <c r="R5" s="308"/>
      <c r="S5" s="309"/>
      <c r="T5" s="620" t="s">
        <v>1367</v>
      </c>
      <c r="U5" s="310"/>
    </row>
    <row r="6" spans="1:21" ht="20.100000000000001" customHeight="1">
      <c r="B6" s="619"/>
      <c r="C6" s="619"/>
      <c r="D6" s="619"/>
      <c r="E6" s="61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3"/>
      <c r="O6" s="619"/>
      <c r="P6" s="619"/>
      <c r="Q6" s="619"/>
      <c r="R6" s="308"/>
      <c r="S6" s="309"/>
      <c r="T6" s="619"/>
      <c r="U6" s="312"/>
    </row>
    <row r="7" spans="1:21" ht="20.100000000000001" customHeight="1">
      <c r="A7" s="313">
        <v>0</v>
      </c>
      <c r="B7" s="314">
        <v>2023</v>
      </c>
      <c r="C7" s="479">
        <f>DATA!D8*DATA!D26*1</f>
        <v>440</v>
      </c>
      <c r="D7" s="316">
        <f>C7*4/24</f>
        <v>73.333333333333329</v>
      </c>
      <c r="E7" s="316">
        <f>C7-D7</f>
        <v>366.66666666666669</v>
      </c>
      <c r="F7" s="317">
        <f ca="1">DATA!D10/1000000</f>
        <v>71.275935946399997</v>
      </c>
      <c r="G7" s="318">
        <f ca="1">DATA!$D$11/1000000</f>
        <v>1.4255187189279999</v>
      </c>
      <c r="H7" s="318">
        <f>C7*DATA!$D$5/1000000</f>
        <v>0.47701502019009701</v>
      </c>
      <c r="I7" s="318">
        <f>(C7*DATA!$D$5*DATA!$D$7)/1000000</f>
        <v>1.0732837954277182E-2</v>
      </c>
      <c r="J7" s="316">
        <f ca="1">SUM(F7:I7)</f>
        <v>73.189202523472375</v>
      </c>
      <c r="K7" s="319">
        <f>DATA!D9/1000000</f>
        <v>10.659000000000001</v>
      </c>
      <c r="L7" s="316">
        <f>((D7*DATA!$D$23)/1000000)+((E7*DATA!$D$24)/1000000)</f>
        <v>0.63566800000000001</v>
      </c>
      <c r="M7" s="316">
        <f>K7+L7</f>
        <v>11.294668000000001</v>
      </c>
      <c r="N7" s="316">
        <f ca="1">M7-J7</f>
        <v>-61.894534523472373</v>
      </c>
      <c r="O7" s="314">
        <v>1</v>
      </c>
      <c r="P7" s="316">
        <f ca="1">O7*N7</f>
        <v>-61.894534523472373</v>
      </c>
      <c r="Q7" s="316">
        <f ca="1">P7</f>
        <v>-61.894534523472373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1.4255187189279999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7.27849301666049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0.34952298333950971</v>
      </c>
      <c r="O8" s="315">
        <f>1/(1+'[93]Asumsi I'!$C$3)^(KKF!A8)</f>
        <v>0.89285714285714279</v>
      </c>
      <c r="P8" s="316">
        <f ca="1">O8*N8</f>
        <v>0.31207409226741933</v>
      </c>
      <c r="Q8" s="316">
        <f ca="1">Q7+P8</f>
        <v>-61.582460431204957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1.4255187189279999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7.27849301666049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0.34952298333950971</v>
      </c>
      <c r="O9" s="322">
        <f>1/(1+'[93]Asumsi I'!$C$3)^(KKF!A9)</f>
        <v>0.79719387755102034</v>
      </c>
      <c r="P9" s="316">
        <f t="shared" ref="P9:P32" ca="1" si="7">O9*N9</f>
        <v>0.27863758238162445</v>
      </c>
      <c r="Q9" s="316">
        <f ca="1">Q8+P9</f>
        <v>-61.30382284882333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1.4255187189279999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7.27849301666049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0.34952298333950971</v>
      </c>
      <c r="O10" s="315">
        <f>1/(1+'[93]Asumsi I'!$C$3)^(KKF!A10)</f>
        <v>0.71178024781341087</v>
      </c>
      <c r="P10" s="316">
        <f t="shared" ca="1" si="7"/>
        <v>0.24878355569787891</v>
      </c>
      <c r="Q10" s="316">
        <f t="shared" ref="Q10:Q30" ca="1" si="9">Q9+P10</f>
        <v>-61.055039293125454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1.4255187189279999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7.27849301666049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0.34952298333950971</v>
      </c>
      <c r="O11" s="315">
        <f>1/(1+'[93]Asumsi I'!$C$3)^(KKF!A11)</f>
        <v>0.63551807840483121</v>
      </c>
      <c r="P11" s="316">
        <f t="shared" ca="1" si="7"/>
        <v>0.22212817473024904</v>
      </c>
      <c r="Q11" s="316">
        <f t="shared" ca="1" si="9"/>
        <v>-60.832911118395202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1.4255187189279999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7.27849301666049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0.34952298333950971</v>
      </c>
      <c r="O12" s="315">
        <f>1/(1+'[93]Asumsi I'!$C$3)^(KKF!A12)</f>
        <v>0.56742685571859919</v>
      </c>
      <c r="P12" s="316">
        <f t="shared" ca="1" si="7"/>
        <v>0.19832872743772231</v>
      </c>
      <c r="Q12" s="316">
        <f t="shared" ca="1" si="9"/>
        <v>-60.634582390957483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1.4255187189279999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7.27849301666049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0.34952298333950971</v>
      </c>
      <c r="O13" s="315">
        <f>1/(1+'[93]Asumsi I'!$C$3)^(KKF!A13)</f>
        <v>0.50663112117732068</v>
      </c>
      <c r="P13" s="316">
        <f t="shared" ca="1" si="7"/>
        <v>0.17707922092653777</v>
      </c>
      <c r="Q13" s="316">
        <f t="shared" ca="1" si="9"/>
        <v>-60.457503170030947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1.4255187189279999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7.27849301666049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0.34952298333950971</v>
      </c>
      <c r="O14" s="315">
        <f>1/(1+'[93]Asumsi I'!$C$3)^(KKF!A14)</f>
        <v>0.45234921533689343</v>
      </c>
      <c r="P14" s="316">
        <f t="shared" ca="1" si="7"/>
        <v>0.15810644725583728</v>
      </c>
      <c r="Q14" s="316">
        <f t="shared" ca="1" si="9"/>
        <v>-60.299396722775107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1.4255187189279999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7.27849301666049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0.34952298333950971</v>
      </c>
      <c r="O15" s="315">
        <f>1/(1+'[93]Asumsi I'!$C$3)^(KKF!A15)</f>
        <v>0.4038832279793691</v>
      </c>
      <c r="P15" s="316">
        <f t="shared" ca="1" si="7"/>
        <v>0.14116647076414043</v>
      </c>
      <c r="Q15" s="316">
        <f t="shared" ca="1" si="9"/>
        <v>-60.158230252010966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1.4255187189279999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7.27849301666049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0.34952298333950971</v>
      </c>
      <c r="O16" s="315">
        <f>1/(1+'[93]Asumsi I'!$C$3)^(KKF!A16)</f>
        <v>0.36061002498157957</v>
      </c>
      <c r="P16" s="316">
        <f t="shared" ca="1" si="7"/>
        <v>0.1260414917536968</v>
      </c>
      <c r="Q16" s="316">
        <f t="shared" ca="1" si="9"/>
        <v>-60.03218876025727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1.4255187189279999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7.27849301666049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0.34952298333950971</v>
      </c>
      <c r="O17" s="315">
        <f>1/(1+'[93]Asumsi I'!$C$3)^(KKF!A17)</f>
        <v>0.32197323659069599</v>
      </c>
      <c r="P17" s="316">
        <f t="shared" ca="1" si="7"/>
        <v>0.11253704620865786</v>
      </c>
      <c r="Q17" s="316">
        <f t="shared" ca="1" si="9"/>
        <v>-59.919651714048612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1.4255187189279999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7.27849301666049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0.34952298333950971</v>
      </c>
      <c r="O18" s="315">
        <f>1/(1+'[93]Asumsi I'!$C$3)^(KKF!A18)</f>
        <v>0.28747610409883567</v>
      </c>
      <c r="P18" s="316">
        <f t="shared" ca="1" si="7"/>
        <v>0.10047950554344449</v>
      </c>
      <c r="Q18" s="316">
        <f t="shared" ca="1" si="9"/>
        <v>-59.819172208505165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1.4255187189279999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7.27849301666049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0.34952298333950971</v>
      </c>
      <c r="O19" s="315">
        <f>1/(1+'[93]Asumsi I'!$C$3)^(KKF!A19)</f>
        <v>0.25667509294538904</v>
      </c>
      <c r="P19" s="316">
        <f t="shared" ca="1" si="7"/>
        <v>8.9713844235218318E-2</v>
      </c>
      <c r="Q19" s="316">
        <f t="shared" ca="1" si="9"/>
        <v>-59.729458364269945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1.4255187189279999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7.27849301666049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0.34952298333950971</v>
      </c>
      <c r="O20" s="315">
        <f>1/(1+'[93]Asumsi I'!$C$3)^(KKF!A20)</f>
        <v>0.22917419012981158</v>
      </c>
      <c r="P20" s="316">
        <f t="shared" ca="1" si="7"/>
        <v>8.0101646638587765E-2</v>
      </c>
      <c r="Q20" s="316">
        <f t="shared" ca="1" si="9"/>
        <v>-59.649356717631356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1.4255187189279999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7.27849301666049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0.34952298333950971</v>
      </c>
      <c r="O21" s="315">
        <f>1/(1+'[93]Asumsi I'!$C$3)^(KKF!A21)</f>
        <v>0.20461981261590317</v>
      </c>
      <c r="P21" s="316">
        <f t="shared" ca="1" si="7"/>
        <v>7.1519327355881929E-2</v>
      </c>
      <c r="Q21" s="316">
        <f t="shared" ca="1" si="9"/>
        <v>-59.577837390275477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1.4255187189279999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7.27849301666049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0.34952298333950971</v>
      </c>
      <c r="O22" s="315">
        <f>1/(1+'[93]Asumsi I'!$C$3)^(KKF!A22)</f>
        <v>0.18269626126419927</v>
      </c>
      <c r="P22" s="316">
        <f t="shared" ca="1" si="7"/>
        <v>6.3856542282037437E-2</v>
      </c>
      <c r="Q22" s="316">
        <f t="shared" ca="1" si="9"/>
        <v>-59.513980847993437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1.4255187189279999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7.27849301666049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0.34952298333950971</v>
      </c>
      <c r="O23" s="315">
        <f>1/(1+'[93]Asumsi I'!$C$3)^(KKF!A23)</f>
        <v>0.16312166184303503</v>
      </c>
      <c r="P23" s="316">
        <f t="shared" ca="1" si="7"/>
        <v>5.701476989467627E-2</v>
      </c>
      <c r="Q23" s="316">
        <f t="shared" ca="1" si="9"/>
        <v>-59.456966078098759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1.4255187189279999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7.27849301666049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0.34952298333950971</v>
      </c>
      <c r="O24" s="315">
        <f>1/(1+'[93]Asumsi I'!$C$3)^(KKF!A24)</f>
        <v>0.14564434093128129</v>
      </c>
      <c r="P24" s="316">
        <f t="shared" ca="1" si="7"/>
        <v>5.09060445488181E-2</v>
      </c>
      <c r="Q24" s="316">
        <f t="shared" ca="1" si="9"/>
        <v>-59.406060033549942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1.4255187189279999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7.27849301666049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0.34952298333950971</v>
      </c>
      <c r="O25" s="315">
        <f>1/(1+'[93]Asumsi I'!$C$3)^(KKF!A25)</f>
        <v>0.13003959011721541</v>
      </c>
      <c r="P25" s="316">
        <f t="shared" ca="1" si="7"/>
        <v>4.5451825490016154E-2</v>
      </c>
      <c r="Q25" s="316">
        <f t="shared" ca="1" si="9"/>
        <v>-59.360608208059922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1.4255187189279999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7.27849301666049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0.34952298333950971</v>
      </c>
      <c r="O26" s="315">
        <f>1/(1+'[93]Asumsi I'!$C$3)^(KKF!A26)</f>
        <v>0.1161067768903709</v>
      </c>
      <c r="P26" s="316">
        <f t="shared" ca="1" si="7"/>
        <v>4.0581987044657278E-2</v>
      </c>
      <c r="Q26" s="316">
        <f t="shared" ca="1" si="9"/>
        <v>-59.320026221015262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1.4255187189279999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7.27849301666049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0.34952298333950971</v>
      </c>
      <c r="O27" s="315">
        <f>1/(1+'[93]Asumsi I'!$C$3)^(KKF!A27)</f>
        <v>0.1036667650806883</v>
      </c>
      <c r="P27" s="316">
        <f t="shared" ca="1" si="7"/>
        <v>3.6233917004158282E-2</v>
      </c>
      <c r="Q27" s="316">
        <f t="shared" ca="1" si="9"/>
        <v>-59.283792304011101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1.4255187189279999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7.27849301666049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0.34952298333950971</v>
      </c>
      <c r="O28" s="315">
        <f>1/(1+'[93]Asumsi I'!$C$3)^(KKF!A28)</f>
        <v>9.2559611679185971E-2</v>
      </c>
      <c r="P28" s="316">
        <f t="shared" ca="1" si="7"/>
        <v>3.2351711610855607E-2</v>
      </c>
      <c r="Q28" s="316">
        <f t="shared" ca="1" si="9"/>
        <v>-59.251440592400243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1.4255187189279999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7.27849301666049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0.34952298333950971</v>
      </c>
      <c r="O29" s="315">
        <f>1/(1+'[93]Asumsi I'!$C$3)^(KKF!A29)</f>
        <v>8.2642510427844609E-2</v>
      </c>
      <c r="P29" s="316">
        <f t="shared" ca="1" si="7"/>
        <v>2.8885456795406789E-2</v>
      </c>
      <c r="Q29" s="316">
        <f t="shared" ca="1" si="9"/>
        <v>-59.222555135604836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1.4255187189279999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7.27849301666049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0.34952298333950971</v>
      </c>
      <c r="O30" s="315">
        <f>1/(1+'[93]Asumsi I'!$C$3)^(KKF!A30)</f>
        <v>7.3787955739146982E-2</v>
      </c>
      <c r="P30" s="316">
        <f t="shared" ca="1" si="7"/>
        <v>2.5790586424470352E-2</v>
      </c>
      <c r="Q30" s="316">
        <f t="shared" ca="1" si="9"/>
        <v>-59.196764549180365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1.4255187189279999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7.27849301666049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0.34952298333950971</v>
      </c>
      <c r="O31" s="315">
        <f>1/(1+'[93]Asumsi I'!$C$3)^(KKF!A31)</f>
        <v>6.5882103338524081E-2</v>
      </c>
      <c r="P31" s="316">
        <f t="shared" ca="1" si="7"/>
        <v>2.3027309307562808E-2</v>
      </c>
      <c r="Q31" s="316">
        <f ca="1">Q30+P31</f>
        <v>-59.1737372398728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1.4255187189279999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7.27849301666049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0.34952298333950971</v>
      </c>
      <c r="O32" s="315">
        <f>1/(1+'[93]Asumsi I'!$C$3)^(KKF!A32)</f>
        <v>5.8823306552253637E-2</v>
      </c>
      <c r="P32" s="316">
        <f t="shared" ca="1" si="7"/>
        <v>2.0560097596038222E-2</v>
      </c>
      <c r="Q32" s="316">
        <f ca="1">Q31+P32</f>
        <v>-59.15317714227676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1" t="s">
        <v>1374</v>
      </c>
      <c r="G33" s="621"/>
      <c r="H33" s="621"/>
      <c r="I33" s="324"/>
      <c r="J33" s="325">
        <f ca="1">SUM(J7:J32)</f>
        <v>255.15152793998465</v>
      </c>
      <c r="K33" s="621" t="s">
        <v>1375</v>
      </c>
      <c r="L33" s="621"/>
      <c r="M33" s="325">
        <f>SUM(M7:M32)</f>
        <v>201.99506800000003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209.39739591424785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0.79166709143718006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-52.815336734175673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-0.1153774602789136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3"/>
  <sheetViews>
    <sheetView showGridLines="0" zoomScale="70" zoomScaleNormal="70" zoomScaleSheetLayoutView="70" workbookViewId="0">
      <pane ySplit="13" topLeftCell="A94" activePane="bottomLeft" state="frozen"/>
      <selection activeCell="H1093" sqref="H1093"/>
      <selection pane="bottomLeft" activeCell="I124" sqref="I124:K13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4" t="s">
        <v>1036</v>
      </c>
      <c r="P3" s="644"/>
      <c r="Q3" s="346"/>
      <c r="T3" s="344"/>
      <c r="U3" s="345" t="s">
        <v>1041</v>
      </c>
      <c r="V3" s="344"/>
    </row>
    <row r="4" spans="1:22" ht="15.75" customHeight="1">
      <c r="B4" s="645" t="s">
        <v>1023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8" t="str">
        <f>DATA!D14</f>
        <v xml:space="preserve">
IOH_14DMK0147WEDING_BONANG</v>
      </c>
      <c r="H6" s="628"/>
      <c r="I6" s="628"/>
      <c r="J6" s="628"/>
      <c r="K6" s="62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7" t="s">
        <v>0</v>
      </c>
      <c r="C11" s="649" t="s">
        <v>1</v>
      </c>
      <c r="D11" s="638" t="s">
        <v>42</v>
      </c>
      <c r="E11" s="638" t="s">
        <v>43</v>
      </c>
      <c r="F11" s="638" t="s">
        <v>2</v>
      </c>
      <c r="G11" s="652" t="s">
        <v>41</v>
      </c>
      <c r="H11" s="638" t="s">
        <v>3</v>
      </c>
      <c r="I11" s="638"/>
      <c r="J11" s="638"/>
      <c r="K11" s="63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8"/>
      <c r="C12" s="650"/>
      <c r="D12" s="642"/>
      <c r="E12" s="642"/>
      <c r="F12" s="642"/>
      <c r="G12" s="653"/>
      <c r="H12" s="640" t="s">
        <v>46</v>
      </c>
      <c r="I12" s="640" t="s">
        <v>5</v>
      </c>
      <c r="J12" s="642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8"/>
      <c r="C13" s="651"/>
      <c r="D13" s="642"/>
      <c r="E13" s="642"/>
      <c r="F13" s="642"/>
      <c r="G13" s="654"/>
      <c r="H13" s="641"/>
      <c r="I13" s="641"/>
      <c r="J13" s="642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18" ca="1" si="8">IF(OR(D17="MDU",D17="MDU-KD"),(IF($O$3="RAB NON MDU","PLN KD",G17*F17)),0)</f>
        <v>0</v>
      </c>
      <c r="I17" s="361">
        <f t="shared" ref="I17:I18" ca="1" si="9">IF(D17="HDW",G17*F17,0)</f>
        <v>11600000</v>
      </c>
      <c r="J17" s="361">
        <f t="shared" ref="J17:J18" ca="1" si="10">IF(D17="JASA",G17*F17,0)</f>
        <v>0</v>
      </c>
      <c r="K17" s="362">
        <f t="shared" ref="K17:K18" ca="1" si="11">SUM(H17:J17)</f>
        <v>11600000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20133.333333333336</v>
      </c>
      <c r="K18" s="362">
        <f t="shared" ca="1" si="11"/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2">IF(OR(D19="MDU",D19="MDU-KD"),(IF($O$3="RAB NON MDU","PLN KD",G19*F19)),0)</f>
        <v>0</v>
      </c>
      <c r="I19" s="361">
        <f t="shared" ref="I19:I21" ca="1" si="13">IF(D19="HDW",G19*F19,0)</f>
        <v>200000</v>
      </c>
      <c r="J19" s="361">
        <f t="shared" ref="J19:J21" ca="1" si="14">IF(D19="JASA",G19*F19,0)</f>
        <v>0</v>
      </c>
      <c r="K19" s="362">
        <f t="shared" ref="K19:K21" ca="1" si="15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1640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3" ca="1" si="20">IF(OR(D22="MDU",D22="MDU-KD"),(IF($O$3="RAB NON MDU","PLN KD",G22*F22)),0)</f>
        <v>0</v>
      </c>
      <c r="I22" s="361">
        <f t="shared" ref="I22:I33" ca="1" si="21">IF(D22="HDW",G22*F22,0)</f>
        <v>0</v>
      </c>
      <c r="J22" s="361">
        <f t="shared" ref="J22:J33" ca="1" si="22">IF(D22="JASA",G22*F22,0)</f>
        <v>0</v>
      </c>
      <c r="K22" s="362">
        <f t="shared" ref="K22:K33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2" t="s">
        <v>1035</v>
      </c>
      <c r="C23" s="523" t="s">
        <v>1628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27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2">
        <v>1</v>
      </c>
      <c r="C24" s="109" t="s">
        <v>1559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27">
        <f>F23*1</f>
        <v>1</v>
      </c>
      <c r="G24" s="360">
        <f ca="1">IF(ISERROR(OFFSET('HARGA SATUAN'!$I$6,MATCH(RAB!C24,'HARGA SATUAN'!$C$7:$C$1492,0),0)),0,OFFSET('HARGA SATUAN'!$I$6,MATCH(RAB!C24,'HARGA SATUAN'!$C$7:$C$1492,0),0))</f>
        <v>235900</v>
      </c>
      <c r="H24" s="361">
        <f t="shared" ca="1" si="20"/>
        <v>235900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235900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2">
        <v>2</v>
      </c>
      <c r="C25" s="523" t="s">
        <v>28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27">
        <f>F23*2</f>
        <v>2</v>
      </c>
      <c r="G25" s="360">
        <f ca="1">IF(ISERROR(OFFSET('HARGA SATUAN'!$I$6,MATCH(RAB!C25,'HARGA SATUAN'!$C$7:$C$1492,0),0)),0,OFFSET('HARGA SATUAN'!$I$6,MATCH(RAB!C25,'HARGA SATUAN'!$C$7:$C$1492,0),0))</f>
        <v>26500</v>
      </c>
      <c r="H25" s="361">
        <f t="shared" ca="1" si="20"/>
        <v>0</v>
      </c>
      <c r="I25" s="361">
        <f t="shared" ca="1" si="21"/>
        <v>53000</v>
      </c>
      <c r="J25" s="361">
        <f t="shared" ca="1" si="22"/>
        <v>0</v>
      </c>
      <c r="K25" s="362">
        <f t="shared" ca="1" si="23"/>
        <v>53000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2">
        <v>3</v>
      </c>
      <c r="C26" s="523" t="s">
        <v>178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F23*1</f>
        <v>1</v>
      </c>
      <c r="G26" s="360">
        <f ca="1">IF(ISERROR(OFFSET('HARGA SATUAN'!$I$6,MATCH(RAB!C26,'HARGA SATUAN'!$C$7:$C$1492,0),0)),0,OFFSET('HARGA SATUAN'!$I$6,MATCH(RAB!C26,'HARGA SATUAN'!$C$7:$C$1492,0),0))</f>
        <v>95000</v>
      </c>
      <c r="H26" s="361">
        <f t="shared" ca="1" si="20"/>
        <v>0</v>
      </c>
      <c r="I26" s="361">
        <f t="shared" ca="1" si="21"/>
        <v>95000</v>
      </c>
      <c r="J26" s="361">
        <f t="shared" ca="1" si="22"/>
        <v>0</v>
      </c>
      <c r="K26" s="362">
        <f t="shared" ca="1" si="23"/>
        <v>95000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2">
        <v>4</v>
      </c>
      <c r="C27" s="523" t="s">
        <v>217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F23*2</f>
        <v>2</v>
      </c>
      <c r="G27" s="360">
        <f ca="1">IF(ISERROR(OFFSET('HARGA SATUAN'!$I$6,MATCH(RAB!C27,'HARGA SATUAN'!$C$7:$C$1492,0),0)),0,OFFSET('HARGA SATUAN'!$I$6,MATCH(RAB!C27,'HARGA SATUAN'!$C$7:$C$1492,0),0))</f>
        <v>11400</v>
      </c>
      <c r="H27" s="361">
        <f t="shared" ca="1" si="20"/>
        <v>0</v>
      </c>
      <c r="I27" s="361">
        <f t="shared" ca="1" si="21"/>
        <v>22800</v>
      </c>
      <c r="J27" s="361">
        <f t="shared" ca="1" si="22"/>
        <v>0</v>
      </c>
      <c r="K27" s="362">
        <f t="shared" ca="1" si="23"/>
        <v>22800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2">
        <v>5</v>
      </c>
      <c r="C28" s="523" t="s">
        <v>254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F23*1</f>
        <v>1</v>
      </c>
      <c r="G28" s="360">
        <f ca="1">IF(ISERROR(OFFSET('HARGA SATUAN'!$I$6,MATCH(RAB!C28,'HARGA SATUAN'!$C$7:$C$1492,0),0)),0,OFFSET('HARGA SATUAN'!$I$6,MATCH(RAB!C28,'HARGA SATUAN'!$C$7:$C$1492,0),0))</f>
        <v>51100</v>
      </c>
      <c r="H28" s="361">
        <f t="shared" ca="1" si="20"/>
        <v>0</v>
      </c>
      <c r="I28" s="361">
        <f t="shared" ca="1" si="21"/>
        <v>51100</v>
      </c>
      <c r="J28" s="361">
        <f t="shared" ca="1" si="22"/>
        <v>0</v>
      </c>
      <c r="K28" s="362">
        <f t="shared" ca="1" si="23"/>
        <v>51100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2">
        <v>6</v>
      </c>
      <c r="C29" s="523" t="s">
        <v>264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F23*1</f>
        <v>1</v>
      </c>
      <c r="G29" s="360">
        <f ca="1">IF(ISERROR(OFFSET('HARGA SATUAN'!$I$6,MATCH(RAB!C29,'HARGA SATUAN'!$C$7:$C$1492,0),0)),0,OFFSET('HARGA SATUAN'!$I$6,MATCH(RAB!C29,'HARGA SATUAN'!$C$7:$C$1492,0),0))</f>
        <v>28000</v>
      </c>
      <c r="H29" s="361">
        <f t="shared" ca="1" si="20"/>
        <v>0</v>
      </c>
      <c r="I29" s="361">
        <f t="shared" ca="1" si="21"/>
        <v>28000</v>
      </c>
      <c r="J29" s="361">
        <f t="shared" ca="1" si="22"/>
        <v>0</v>
      </c>
      <c r="K29" s="362">
        <f t="shared" ca="1" si="23"/>
        <v>28000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4">
        <v>7</v>
      </c>
      <c r="C30" s="525" t="s">
        <v>38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Mtr</v>
      </c>
      <c r="F30" s="501">
        <f>2.6*F23</f>
        <v>2.6</v>
      </c>
      <c r="G30" s="360">
        <f ca="1">IF(ISERROR(OFFSET('HARGA SATUAN'!$I$6,MATCH(RAB!C30,'HARGA SATUAN'!$C$7:$C$1492,0),0)),0,OFFSET('HARGA SATUAN'!$I$6,MATCH(RAB!C30,'HARGA SATUAN'!$C$7:$C$1492,0),0))</f>
        <v>8550</v>
      </c>
      <c r="H30" s="361">
        <f t="shared" ca="1" si="20"/>
        <v>0</v>
      </c>
      <c r="I30" s="361">
        <f t="shared" ca="1" si="21"/>
        <v>22230</v>
      </c>
      <c r="J30" s="361">
        <f t="shared" ca="1" si="22"/>
        <v>0</v>
      </c>
      <c r="K30" s="362">
        <f t="shared" ca="1" si="23"/>
        <v>22230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03">
        <v>8</v>
      </c>
      <c r="C31" s="526" t="s">
        <v>26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F23*2</f>
        <v>2</v>
      </c>
      <c r="G31" s="360">
        <f ca="1">IF(ISERROR(OFFSET('HARGA SATUAN'!$I$6,MATCH(RAB!C31,'HARGA SATUAN'!$C$7:$C$1492,0),0)),0,OFFSET('HARGA SATUAN'!$I$6,MATCH(RAB!C31,'HARGA SATUAN'!$C$7:$C$1492,0),0))</f>
        <v>2500</v>
      </c>
      <c r="H31" s="361">
        <f t="shared" ca="1" si="20"/>
        <v>0</v>
      </c>
      <c r="I31" s="361">
        <f t="shared" ca="1" si="21"/>
        <v>5000</v>
      </c>
      <c r="J31" s="361">
        <f t="shared" ca="1" si="22"/>
        <v>0</v>
      </c>
      <c r="K31" s="362">
        <f t="shared" ca="1" si="23"/>
        <v>5000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03">
        <v>9</v>
      </c>
      <c r="C32" s="505" t="s">
        <v>641</v>
      </c>
      <c r="D32" s="358" t="str">
        <f ca="1">IF(ISERROR(OFFSET('HARGA SATUAN'!$D$6,MATCH(RAB!C32,'HARGA SATUAN'!$C$7:$C$1492,0),0)),"",OFFSET('HARGA SATUAN'!$D$6,MATCH(RAB!C32,'HARGA SATUAN'!$C$7:$C$1492,0),0))</f>
        <v>JASA</v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527">
        <f>F23*1</f>
        <v>1</v>
      </c>
      <c r="G32" s="360">
        <f ca="1">IF(ISERROR(OFFSET('HARGA SATUAN'!$I$6,MATCH(RAB!C32,'HARGA SATUAN'!$C$7:$C$1492,0),0)),0,OFFSET('HARGA SATUAN'!$I$6,MATCH(RAB!C32,'HARGA SATUAN'!$C$7:$C$1492,0),0))</f>
        <v>53200</v>
      </c>
      <c r="H32" s="361">
        <f t="shared" ca="1" si="20"/>
        <v>0</v>
      </c>
      <c r="I32" s="361">
        <f t="shared" ca="1" si="21"/>
        <v>0</v>
      </c>
      <c r="J32" s="361">
        <f t="shared" ca="1" si="22"/>
        <v>53200</v>
      </c>
      <c r="K32" s="362">
        <f t="shared" ca="1" si="23"/>
        <v>53200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498"/>
      <c r="C33" s="499"/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368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20"/>
        <v>0</v>
      </c>
      <c r="I33" s="361">
        <f t="shared" ca="1" si="21"/>
        <v>0</v>
      </c>
      <c r="J33" s="361">
        <f t="shared" ca="1" si="22"/>
        <v>0</v>
      </c>
      <c r="K33" s="362">
        <f t="shared" ca="1" si="23"/>
        <v>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 t="s">
        <v>1035</v>
      </c>
      <c r="C34" s="520" t="s">
        <v>1625</v>
      </c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v>4</v>
      </c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ref="H34:H47" ca="1" si="24">IF(OR(D34="MDU",D34="MDU-KD"),(IF($O$3="RAB NON MDU","PLN KD",G34*F34)),0)</f>
        <v>0</v>
      </c>
      <c r="I34" s="361">
        <f t="shared" ref="I34:I47" ca="1" si="25">IF(D34="HDW",G34*F34,0)</f>
        <v>0</v>
      </c>
      <c r="J34" s="361">
        <f t="shared" ref="J34:J47" ca="1" si="26">IF(D34="JASA",G34*F34,0)</f>
        <v>0</v>
      </c>
      <c r="K34" s="362">
        <f t="shared" ref="K34:K47" ca="1" si="27">SUM(H34:J34)</f>
        <v>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>
        <v>1</v>
      </c>
      <c r="C35" s="520" t="s">
        <v>229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F34*1</f>
        <v>4</v>
      </c>
      <c r="G35" s="360">
        <f ca="1">IF(ISERROR(OFFSET('HARGA SATUAN'!$I$6,MATCH(RAB!C35,'HARGA SATUAN'!$C$7:$C$1492,0),0)),0,OFFSET('HARGA SATUAN'!$I$6,MATCH(RAB!C35,'HARGA SATUAN'!$C$7:$C$1492,0),0))</f>
        <v>4212</v>
      </c>
      <c r="H35" s="361">
        <f t="shared" ca="1" si="24"/>
        <v>0</v>
      </c>
      <c r="I35" s="361">
        <f t="shared" ca="1" si="25"/>
        <v>16848</v>
      </c>
      <c r="J35" s="361">
        <f t="shared" ca="1" si="26"/>
        <v>0</v>
      </c>
      <c r="K35" s="362">
        <f t="shared" ca="1" si="27"/>
        <v>16848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9">
        <v>2</v>
      </c>
      <c r="C36" s="520" t="s">
        <v>266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501">
        <f>F34*1</f>
        <v>4</v>
      </c>
      <c r="G36" s="360">
        <f ca="1">IF(ISERROR(OFFSET('HARGA SATUAN'!$I$6,MATCH(RAB!C36,'HARGA SATUAN'!$C$7:$C$1492,0),0)),0,OFFSET('HARGA SATUAN'!$I$6,MATCH(RAB!C36,'HARGA SATUAN'!$C$7:$C$1492,0),0))</f>
        <v>23310</v>
      </c>
      <c r="H36" s="361">
        <f t="shared" ca="1" si="24"/>
        <v>0</v>
      </c>
      <c r="I36" s="361">
        <f t="shared" ca="1" si="25"/>
        <v>93240</v>
      </c>
      <c r="J36" s="361">
        <f t="shared" ca="1" si="26"/>
        <v>0</v>
      </c>
      <c r="K36" s="362">
        <f t="shared" ca="1" si="27"/>
        <v>93240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9">
        <v>3</v>
      </c>
      <c r="C37" s="520" t="s">
        <v>35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F34*1</f>
        <v>4</v>
      </c>
      <c r="G37" s="360">
        <f ca="1">IF(ISERROR(OFFSET('HARGA SATUAN'!$I$6,MATCH(RAB!C37,'HARGA SATUAN'!$C$7:$C$1492,0),0)),0,OFFSET('HARGA SATUAN'!$I$6,MATCH(RAB!C37,'HARGA SATUAN'!$C$7:$C$1492,0),0))</f>
        <v>2300</v>
      </c>
      <c r="H37" s="361">
        <f t="shared" ca="1" si="24"/>
        <v>0</v>
      </c>
      <c r="I37" s="361">
        <f t="shared" ca="1" si="25"/>
        <v>9200</v>
      </c>
      <c r="J37" s="361">
        <f t="shared" ca="1" si="26"/>
        <v>0</v>
      </c>
      <c r="K37" s="362">
        <f t="shared" ca="1" si="27"/>
        <v>9200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9">
        <v>4</v>
      </c>
      <c r="C38" s="520" t="s">
        <v>609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F34*1</f>
        <v>4</v>
      </c>
      <c r="G38" s="360">
        <f ca="1">IF(ISERROR(OFFSET('HARGA SATUAN'!$I$6,MATCH(RAB!C38,'HARGA SATUAN'!$C$7:$C$1492,0),0)),0,OFFSET('HARGA SATUAN'!$I$6,MATCH(RAB!C38,'HARGA SATUAN'!$C$7:$C$1492,0),0))</f>
        <v>71000</v>
      </c>
      <c r="H38" s="361">
        <f t="shared" ca="1" si="24"/>
        <v>0</v>
      </c>
      <c r="I38" s="361">
        <f t="shared" ca="1" si="25"/>
        <v>284000</v>
      </c>
      <c r="J38" s="361">
        <f t="shared" ca="1" si="26"/>
        <v>0</v>
      </c>
      <c r="K38" s="362">
        <f t="shared" ca="1" si="27"/>
        <v>284000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9">
        <v>5</v>
      </c>
      <c r="C39" s="520" t="s">
        <v>629</v>
      </c>
      <c r="D39" s="358" t="str">
        <f ca="1">IF(ISERROR(OFFSET('HARGA SATUAN'!$D$6,MATCH(RAB!C39,'HARGA SATUAN'!$C$7:$C$1492,0),0)),"",OFFSET('HARGA SATUAN'!$D$6,MATCH(RAB!C39,'HARGA SATUAN'!$C$7:$C$1492,0),0))</f>
        <v>JASA</v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501">
        <f>F34*1</f>
        <v>4</v>
      </c>
      <c r="G39" s="360">
        <f ca="1">IF(ISERROR(OFFSET('HARGA SATUAN'!$I$6,MATCH(RAB!C39,'HARGA SATUAN'!$C$7:$C$1492,0),0)),0,OFFSET('HARGA SATUAN'!$I$6,MATCH(RAB!C39,'HARGA SATUAN'!$C$7:$C$1492,0),0))</f>
        <v>29400</v>
      </c>
      <c r="H39" s="361">
        <f t="shared" ca="1" si="24"/>
        <v>0</v>
      </c>
      <c r="I39" s="361">
        <f t="shared" ca="1" si="25"/>
        <v>0</v>
      </c>
      <c r="J39" s="361">
        <f t="shared" ca="1" si="26"/>
        <v>117600</v>
      </c>
      <c r="K39" s="362">
        <f t="shared" ca="1" si="27"/>
        <v>117600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9"/>
      <c r="C40" s="520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4"/>
        <v>0</v>
      </c>
      <c r="I40" s="361">
        <f t="shared" ca="1" si="25"/>
        <v>0</v>
      </c>
      <c r="J40" s="361">
        <f t="shared" ca="1" si="26"/>
        <v>0</v>
      </c>
      <c r="K40" s="362">
        <f t="shared" ca="1" si="27"/>
        <v>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9" t="s">
        <v>1035</v>
      </c>
      <c r="C41" s="520" t="s">
        <v>1616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1">
        <v>8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4"/>
        <v>0</v>
      </c>
      <c r="I41" s="361">
        <f t="shared" ca="1" si="25"/>
        <v>0</v>
      </c>
      <c r="J41" s="361">
        <f t="shared" ca="1" si="26"/>
        <v>0</v>
      </c>
      <c r="K41" s="362">
        <f t="shared" ca="1" si="27"/>
        <v>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9">
        <v>1</v>
      </c>
      <c r="C42" s="520" t="s">
        <v>595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F41*1</f>
        <v>8</v>
      </c>
      <c r="G42" s="360">
        <f ca="1">IF(ISERROR(OFFSET('HARGA SATUAN'!$I$6,MATCH(RAB!C42,'HARGA SATUAN'!$C$7:$C$1492,0),0)),0,OFFSET('HARGA SATUAN'!$I$6,MATCH(RAB!C42,'HARGA SATUAN'!$C$7:$C$1492,0),0))</f>
        <v>78500</v>
      </c>
      <c r="H42" s="361">
        <f t="shared" ca="1" si="24"/>
        <v>0</v>
      </c>
      <c r="I42" s="361">
        <f t="shared" ca="1" si="25"/>
        <v>628000</v>
      </c>
      <c r="J42" s="361">
        <f t="shared" ca="1" si="26"/>
        <v>0</v>
      </c>
      <c r="K42" s="362">
        <f t="shared" ca="1" si="27"/>
        <v>628000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9">
        <v>2</v>
      </c>
      <c r="C43" s="520" t="s">
        <v>229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F41*1</f>
        <v>8</v>
      </c>
      <c r="G43" s="360">
        <f ca="1">IF(ISERROR(OFFSET('HARGA SATUAN'!$I$6,MATCH(RAB!C43,'HARGA SATUAN'!$C$7:$C$1492,0),0)),0,OFFSET('HARGA SATUAN'!$I$6,MATCH(RAB!C43,'HARGA SATUAN'!$C$7:$C$1492,0),0))</f>
        <v>4212</v>
      </c>
      <c r="H43" s="361">
        <f t="shared" ca="1" si="24"/>
        <v>0</v>
      </c>
      <c r="I43" s="361">
        <f t="shared" ca="1" si="25"/>
        <v>33696</v>
      </c>
      <c r="J43" s="361">
        <f t="shared" ca="1" si="26"/>
        <v>0</v>
      </c>
      <c r="K43" s="362">
        <f t="shared" ca="1" si="27"/>
        <v>33696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9">
        <v>3</v>
      </c>
      <c r="C44" s="520" t="s">
        <v>266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f>F41*1</f>
        <v>8</v>
      </c>
      <c r="G44" s="360">
        <f ca="1">IF(ISERROR(OFFSET('HARGA SATUAN'!$I$6,MATCH(RAB!C44,'HARGA SATUAN'!$C$7:$C$1492,0),0)),0,OFFSET('HARGA SATUAN'!$I$6,MATCH(RAB!C44,'HARGA SATUAN'!$C$7:$C$1492,0),0))</f>
        <v>23310</v>
      </c>
      <c r="H44" s="361">
        <f t="shared" ca="1" si="24"/>
        <v>0</v>
      </c>
      <c r="I44" s="361">
        <f t="shared" ca="1" si="25"/>
        <v>186480</v>
      </c>
      <c r="J44" s="361">
        <f t="shared" ca="1" si="26"/>
        <v>0</v>
      </c>
      <c r="K44" s="362">
        <f t="shared" ca="1" si="27"/>
        <v>186480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9">
        <v>4</v>
      </c>
      <c r="C45" s="520" t="s">
        <v>35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F41*1</f>
        <v>8</v>
      </c>
      <c r="G45" s="360">
        <f ca="1">IF(ISERROR(OFFSET('HARGA SATUAN'!$I$6,MATCH(RAB!C45,'HARGA SATUAN'!$C$7:$C$1492,0),0)),0,OFFSET('HARGA SATUAN'!$I$6,MATCH(RAB!C45,'HARGA SATUAN'!$C$7:$C$1492,0),0))</f>
        <v>2300</v>
      </c>
      <c r="H45" s="361">
        <f t="shared" ca="1" si="24"/>
        <v>0</v>
      </c>
      <c r="I45" s="361">
        <f t="shared" ca="1" si="25"/>
        <v>18400</v>
      </c>
      <c r="J45" s="361">
        <f t="shared" ca="1" si="26"/>
        <v>0</v>
      </c>
      <c r="K45" s="362">
        <f t="shared" ca="1" si="27"/>
        <v>18400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9">
        <v>5</v>
      </c>
      <c r="C46" s="520" t="s">
        <v>630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01">
        <f>F41*1</f>
        <v>8</v>
      </c>
      <c r="G46" s="360">
        <f ca="1">IF(ISERROR(OFFSET('HARGA SATUAN'!$I$6,MATCH(RAB!C46,'HARGA SATUAN'!$C$7:$C$1492,0),0)),0,OFFSET('HARGA SATUAN'!$I$6,MATCH(RAB!C46,'HARGA SATUAN'!$C$7:$C$1492,0),0))</f>
        <v>35700</v>
      </c>
      <c r="H46" s="361">
        <f t="shared" ca="1" si="24"/>
        <v>0</v>
      </c>
      <c r="I46" s="361">
        <f t="shared" ca="1" si="25"/>
        <v>0</v>
      </c>
      <c r="J46" s="361">
        <f t="shared" ca="1" si="26"/>
        <v>285600</v>
      </c>
      <c r="K46" s="362">
        <f t="shared" ca="1" si="27"/>
        <v>285600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9"/>
      <c r="C47" s="520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4"/>
        <v>0</v>
      </c>
      <c r="I47" s="361">
        <f t="shared" ca="1" si="25"/>
        <v>0</v>
      </c>
      <c r="J47" s="361">
        <f t="shared" ca="1" si="26"/>
        <v>0</v>
      </c>
      <c r="K47" s="362">
        <f t="shared" ca="1" si="27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5" t="s">
        <v>1035</v>
      </c>
      <c r="C48" s="516" t="s">
        <v>1617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50" ca="1" si="28">IF(OR(D48="MDU",D48="MDU-KD"),(IF($O$3="RAB NON MDU","PLN KD",G48*F48)),0)</f>
        <v>0</v>
      </c>
      <c r="I48" s="361">
        <f t="shared" ref="I48:I50" ca="1" si="29">IF(D48="HDW",G48*F48,0)</f>
        <v>0</v>
      </c>
      <c r="J48" s="361">
        <f t="shared" ref="J48:J50" ca="1" si="30">IF(D48="JASA",G48*F48,0)</f>
        <v>0</v>
      </c>
      <c r="K48" s="362">
        <f t="shared" ref="K48:K50" ca="1" si="31">SUM(H48:J48)</f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5">
        <v>1</v>
      </c>
      <c r="C49" s="516" t="s">
        <v>598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1</v>
      </c>
      <c r="G49" s="360">
        <f ca="1">IF(ISERROR(OFFSET('HARGA SATUAN'!$I$6,MATCH(RAB!C49,'HARGA SATUAN'!$C$7:$C$1492,0),0)),0,OFFSET('HARGA SATUAN'!$I$6,MATCH(RAB!C49,'HARGA SATUAN'!$C$7:$C$1492,0),0))</f>
        <v>3965</v>
      </c>
      <c r="H49" s="361">
        <f t="shared" ca="1" si="28"/>
        <v>0</v>
      </c>
      <c r="I49" s="361">
        <f t="shared" ca="1" si="29"/>
        <v>3965</v>
      </c>
      <c r="J49" s="361">
        <f t="shared" ca="1" si="30"/>
        <v>0</v>
      </c>
      <c r="K49" s="362">
        <f t="shared" ca="1" si="31"/>
        <v>3965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5">
        <v>2</v>
      </c>
      <c r="C50" s="516" t="s">
        <v>474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F48*1</f>
        <v>1</v>
      </c>
      <c r="G50" s="360">
        <f ca="1">IF(ISERROR(OFFSET('HARGA SATUAN'!$I$6,MATCH(RAB!C50,'HARGA SATUAN'!$C$7:$C$1492,0),0)),0,OFFSET('HARGA SATUAN'!$I$6,MATCH(RAB!C50,'HARGA SATUAN'!$C$7:$C$1492,0),0))</f>
        <v>3711.24</v>
      </c>
      <c r="H50" s="361">
        <f t="shared" ca="1" si="28"/>
        <v>0</v>
      </c>
      <c r="I50" s="361">
        <f t="shared" ca="1" si="29"/>
        <v>3711.24</v>
      </c>
      <c r="J50" s="361">
        <f t="shared" ca="1" si="30"/>
        <v>0</v>
      </c>
      <c r="K50" s="362">
        <f t="shared" ca="1" si="31"/>
        <v>3711.24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5">
        <v>3</v>
      </c>
      <c r="C51" s="516" t="s">
        <v>266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F48*1</f>
        <v>1</v>
      </c>
      <c r="G51" s="360">
        <f ca="1">IF(ISERROR(OFFSET('HARGA SATUAN'!$I$6,MATCH(RAB!C51,'HARGA SATUAN'!$C$7:$C$1492,0),0)),0,OFFSET('HARGA SATUAN'!$I$6,MATCH(RAB!C51,'HARGA SATUAN'!$C$7:$C$1492,0),0))</f>
        <v>23310</v>
      </c>
      <c r="H51" s="361">
        <f t="shared" ref="H51:H55" ca="1" si="32">IF(OR(D51="MDU",D51="MDU-KD"),(IF($O$3="RAB NON MDU","PLN KD",G51*F51)),0)</f>
        <v>0</v>
      </c>
      <c r="I51" s="361">
        <f t="shared" ref="I51:I55" ca="1" si="33">IF(D51="HDW",G51*F51,0)</f>
        <v>23310</v>
      </c>
      <c r="J51" s="361">
        <f t="shared" ref="J51:J55" ca="1" si="34">IF(D51="JASA",G51*F51,0)</f>
        <v>0</v>
      </c>
      <c r="K51" s="362">
        <f t="shared" ref="K51:K55" ca="1" si="35">SUM(H51:J51)</f>
        <v>23310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5">
        <v>4</v>
      </c>
      <c r="C52" s="516" t="s">
        <v>35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F48*1</f>
        <v>1</v>
      </c>
      <c r="G52" s="360">
        <f ca="1">IF(ISERROR(OFFSET('HARGA SATUAN'!$I$6,MATCH(RAB!C52,'HARGA SATUAN'!$C$7:$C$1492,0),0)),0,OFFSET('HARGA SATUAN'!$I$6,MATCH(RAB!C52,'HARGA SATUAN'!$C$7:$C$1492,0),0))</f>
        <v>2300</v>
      </c>
      <c r="H52" s="361">
        <f t="shared" ca="1" si="32"/>
        <v>0</v>
      </c>
      <c r="I52" s="361">
        <f t="shared" ca="1" si="33"/>
        <v>2300</v>
      </c>
      <c r="J52" s="361">
        <f t="shared" ca="1" si="34"/>
        <v>0</v>
      </c>
      <c r="K52" s="362">
        <f t="shared" ca="1" si="35"/>
        <v>2300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5">
        <v>5</v>
      </c>
      <c r="C53" s="516" t="s">
        <v>632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1">
        <f>F48*1</f>
        <v>1</v>
      </c>
      <c r="G53" s="360">
        <f ca="1">IF(ISERROR(OFFSET('HARGA SATUAN'!$I$6,MATCH(RAB!C53,'HARGA SATUAN'!$C$7:$C$1492,0),0)),0,OFFSET('HARGA SATUAN'!$I$6,MATCH(RAB!C53,'HARGA SATUAN'!$C$7:$C$1492,0),0))</f>
        <v>22700</v>
      </c>
      <c r="H53" s="361">
        <f t="shared" ca="1" si="32"/>
        <v>0</v>
      </c>
      <c r="I53" s="361">
        <f t="shared" ca="1" si="33"/>
        <v>0</v>
      </c>
      <c r="J53" s="361">
        <f t="shared" ca="1" si="34"/>
        <v>22700</v>
      </c>
      <c r="K53" s="362">
        <f t="shared" ca="1" si="35"/>
        <v>22700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498"/>
      <c r="C54" s="499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1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32"/>
        <v>0</v>
      </c>
      <c r="I54" s="361">
        <f t="shared" ca="1" si="33"/>
        <v>0</v>
      </c>
      <c r="J54" s="361">
        <f t="shared" ca="1" si="34"/>
        <v>0</v>
      </c>
      <c r="K54" s="362">
        <f t="shared" ca="1" si="35"/>
        <v>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514" t="s">
        <v>1618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2"/>
        <v>0</v>
      </c>
      <c r="I55" s="361">
        <f t="shared" ca="1" si="33"/>
        <v>0</v>
      </c>
      <c r="J55" s="361">
        <f t="shared" ca="1" si="34"/>
        <v>0</v>
      </c>
      <c r="K55" s="362">
        <f t="shared" ca="1" si="35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8">
        <v>1</v>
      </c>
      <c r="C56" s="109" t="s">
        <v>1402</v>
      </c>
      <c r="D56" s="358" t="str">
        <f ca="1">IF(ISERROR(OFFSET('HARGA SATUAN'!$D$6,MATCH(RAB!C56,'HARGA SATUAN'!$C$7:$C$1492,0),0)),"",OFFSET('HARGA SATUAN'!$D$6,MATCH(RAB!C56,'HARGA SATUAN'!$C$7:$C$1492,0),0))</f>
        <v>MDU-KD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501">
        <f>285</f>
        <v>285</v>
      </c>
      <c r="G56" s="360">
        <f ca="1">IF(ISERROR(OFFSET('HARGA SATUAN'!$I$6,MATCH(RAB!C56,'HARGA SATUAN'!$C$7:$C$1492,0),0)),0,OFFSET('HARGA SATUAN'!$I$6,MATCH(RAB!C56,'HARGA SATUAN'!$C$7:$C$1492,0),0))</f>
        <v>53300</v>
      </c>
      <c r="H56" s="361">
        <f t="shared" ref="H56:H57" ca="1" si="36">IF(OR(D56="MDU",D56="MDU-KD"),(IF($O$3="RAB NON MDU","PLN KD",G56*F56)),0)</f>
        <v>15190500</v>
      </c>
      <c r="I56" s="361">
        <f t="shared" ref="I56:I57" ca="1" si="37">IF(D56="HDW",G56*F56,0)</f>
        <v>0</v>
      </c>
      <c r="J56" s="361">
        <f t="shared" ref="J56:J57" ca="1" si="38">IF(D56="JASA",G56*F56,0)</f>
        <v>0</v>
      </c>
      <c r="K56" s="362">
        <f t="shared" ref="K56:K57" ca="1" si="39">SUM(H56:J56)</f>
        <v>15190500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498">
        <v>2</v>
      </c>
      <c r="C57" s="109" t="s">
        <v>347</v>
      </c>
      <c r="D57" s="511" t="s">
        <v>47</v>
      </c>
      <c r="E57" s="512" t="s">
        <v>297</v>
      </c>
      <c r="F57" s="512">
        <f>F56/50</f>
        <v>5.7</v>
      </c>
      <c r="G57" s="513">
        <v>85000</v>
      </c>
      <c r="H57" s="361">
        <f t="shared" si="36"/>
        <v>0</v>
      </c>
      <c r="I57" s="361">
        <f t="shared" si="37"/>
        <v>0</v>
      </c>
      <c r="J57" s="361">
        <f t="shared" si="38"/>
        <v>484500</v>
      </c>
      <c r="K57" s="362">
        <f t="shared" si="39"/>
        <v>484500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498"/>
      <c r="C58" s="499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ref="H58:H60" ca="1" si="40">IF(OR(D58="MDU",D58="MDU-KD"),(IF($O$3="RAB NON MDU","PLN KD",G58*F58)),0)</f>
        <v>0</v>
      </c>
      <c r="I58" s="361">
        <f t="shared" ref="I58:I60" ca="1" si="41">IF(D58="HDW",G58*F58,0)</f>
        <v>0</v>
      </c>
      <c r="J58" s="361">
        <f t="shared" ref="J58:J60" ca="1" si="42">IF(D58="JASA",G58*F58,0)</f>
        <v>0</v>
      </c>
      <c r="K58" s="362">
        <f t="shared" ref="K58:K60" ca="1" si="43">SUM(H58:J58)</f>
        <v>0</v>
      </c>
      <c r="L58" s="342"/>
      <c r="M58" s="342"/>
      <c r="N58" s="369"/>
      <c r="O58" s="344"/>
      <c r="P58" s="397"/>
      <c r="Q58" s="344"/>
    </row>
    <row r="59" spans="1:17">
      <c r="B59" s="366" t="s">
        <v>1608</v>
      </c>
      <c r="C59" s="367" t="s">
        <v>1610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501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40"/>
        <v>0</v>
      </c>
      <c r="I59" s="361">
        <f t="shared" ca="1" si="41"/>
        <v>0</v>
      </c>
      <c r="J59" s="361">
        <f t="shared" ca="1" si="42"/>
        <v>0</v>
      </c>
      <c r="K59" s="362">
        <f t="shared" ca="1" si="43"/>
        <v>0</v>
      </c>
    </row>
    <row r="60" spans="1:17">
      <c r="B60" s="494"/>
      <c r="C60" s="497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1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40"/>
        <v>0</v>
      </c>
      <c r="I60" s="361">
        <f t="shared" ca="1" si="41"/>
        <v>0</v>
      </c>
      <c r="J60" s="361">
        <f t="shared" ca="1" si="42"/>
        <v>0</v>
      </c>
      <c r="K60" s="362">
        <f t="shared" ca="1" si="43"/>
        <v>0</v>
      </c>
    </row>
    <row r="61" spans="1:17">
      <c r="B61" s="515" t="s">
        <v>1035</v>
      </c>
      <c r="C61" s="516" t="s">
        <v>1624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2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:H67" ca="1" si="44">IF(OR(D61="MDU",D61="MDU-KD"),(IF($O$3="RAB NON MDU","PLN KD",G61*F61)),0)</f>
        <v>0</v>
      </c>
      <c r="I61" s="361">
        <f t="shared" ref="I61:I67" ca="1" si="45">IF(D61="HDW",G61*F61,0)</f>
        <v>0</v>
      </c>
      <c r="J61" s="361">
        <f t="shared" ref="J61:J67" ca="1" si="46">IF(D61="JASA",G61*F61,0)</f>
        <v>0</v>
      </c>
      <c r="K61" s="362">
        <f t="shared" ref="K61:K67" ca="1" si="47">SUM(H61:J61)</f>
        <v>0</v>
      </c>
    </row>
    <row r="62" spans="1:17">
      <c r="B62" s="515">
        <v>1</v>
      </c>
      <c r="C62" s="516" t="s">
        <v>535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2">
        <f>F61*1</f>
        <v>1</v>
      </c>
      <c r="G62" s="360">
        <f ca="1">IF(ISERROR(OFFSET('HARGA SATUAN'!$I$6,MATCH(RAB!C62,'HARGA SATUAN'!$C$7:$C$1492,0),0)),0,OFFSET('HARGA SATUAN'!$I$6,MATCH(RAB!C62,'HARGA SATUAN'!$C$7:$C$1492,0),0))</f>
        <v>848250</v>
      </c>
      <c r="H62" s="361">
        <f t="shared" ca="1" si="44"/>
        <v>848250</v>
      </c>
      <c r="I62" s="361">
        <f t="shared" ca="1" si="45"/>
        <v>0</v>
      </c>
      <c r="J62" s="361">
        <f t="shared" ca="1" si="46"/>
        <v>0</v>
      </c>
      <c r="K62" s="362">
        <f t="shared" ca="1" si="47"/>
        <v>848250</v>
      </c>
    </row>
    <row r="63" spans="1:17">
      <c r="B63" s="515">
        <v>2</v>
      </c>
      <c r="C63" s="109" t="s">
        <v>62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2">
        <f>F61*1</f>
        <v>1</v>
      </c>
      <c r="G63" s="360">
        <f ca="1">IF(ISERROR(OFFSET('HARGA SATUAN'!$I$6,MATCH(RAB!C63,'HARGA SATUAN'!$C$7:$C$1492,0),0)),0,OFFSET('HARGA SATUAN'!$I$6,MATCH(RAB!C63,'HARGA SATUAN'!$C$7:$C$1492,0),0))</f>
        <v>32500</v>
      </c>
      <c r="H63" s="361">
        <f t="shared" ca="1" si="44"/>
        <v>0</v>
      </c>
      <c r="I63" s="361">
        <f t="shared" ca="1" si="45"/>
        <v>32500</v>
      </c>
      <c r="J63" s="361">
        <f t="shared" ca="1" si="46"/>
        <v>0</v>
      </c>
      <c r="K63" s="362">
        <f t="shared" ca="1" si="47"/>
        <v>32500</v>
      </c>
    </row>
    <row r="64" spans="1:17">
      <c r="B64" s="515">
        <v>3</v>
      </c>
      <c r="C64" s="516" t="s">
        <v>187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2">
        <f>F61*1</f>
        <v>1</v>
      </c>
      <c r="G64" s="360">
        <f ca="1">IF(ISERROR(OFFSET('HARGA SATUAN'!$I$6,MATCH(RAB!C64,'HARGA SATUAN'!$C$7:$C$1492,0),0)),0,OFFSET('HARGA SATUAN'!$I$6,MATCH(RAB!C64,'HARGA SATUAN'!$C$7:$C$1492,0),0))</f>
        <v>17100</v>
      </c>
      <c r="H64" s="361">
        <f t="shared" ca="1" si="44"/>
        <v>0</v>
      </c>
      <c r="I64" s="361">
        <f t="shared" ca="1" si="45"/>
        <v>17100</v>
      </c>
      <c r="J64" s="361">
        <f t="shared" ca="1" si="46"/>
        <v>0</v>
      </c>
      <c r="K64" s="362">
        <f t="shared" ca="1" si="47"/>
        <v>17100</v>
      </c>
    </row>
    <row r="65" spans="2:11">
      <c r="B65" s="515">
        <v>4</v>
      </c>
      <c r="C65" s="109" t="s">
        <v>174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2">
        <f>F61*1</f>
        <v>1</v>
      </c>
      <c r="G65" s="360">
        <f ca="1">IF(ISERROR(OFFSET('HARGA SATUAN'!$I$6,MATCH(RAB!C65,'HARGA SATUAN'!$C$7:$C$1492,0),0)),0,OFFSET('HARGA SATUAN'!$I$6,MATCH(RAB!C65,'HARGA SATUAN'!$C$7:$C$1492,0),0))</f>
        <v>67700</v>
      </c>
      <c r="H65" s="361">
        <f t="shared" ca="1" si="44"/>
        <v>0</v>
      </c>
      <c r="I65" s="361">
        <f t="shared" ca="1" si="45"/>
        <v>67700</v>
      </c>
      <c r="J65" s="361">
        <f t="shared" ca="1" si="46"/>
        <v>0</v>
      </c>
      <c r="K65" s="362">
        <f t="shared" ca="1" si="47"/>
        <v>67700</v>
      </c>
    </row>
    <row r="66" spans="2:11">
      <c r="B66" s="515">
        <v>5</v>
      </c>
      <c r="C66" s="516" t="s">
        <v>747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2">
        <f>F61*1</f>
        <v>1</v>
      </c>
      <c r="G66" s="360">
        <f ca="1">IF(ISERROR(OFFSET('HARGA SATUAN'!$I$6,MATCH(RAB!C66,'HARGA SATUAN'!$C$7:$C$1492,0),0)),0,OFFSET('HARGA SATUAN'!$I$6,MATCH(RAB!C66,'HARGA SATUAN'!$C$7:$C$1492,0),0))</f>
        <v>58400</v>
      </c>
      <c r="H66" s="361">
        <f t="shared" ca="1" si="44"/>
        <v>0</v>
      </c>
      <c r="I66" s="361">
        <f t="shared" ca="1" si="45"/>
        <v>0</v>
      </c>
      <c r="J66" s="361">
        <f t="shared" ca="1" si="46"/>
        <v>58400</v>
      </c>
      <c r="K66" s="362">
        <f t="shared" ca="1" si="47"/>
        <v>58400</v>
      </c>
    </row>
    <row r="67" spans="2:11">
      <c r="B67" s="494"/>
      <c r="C67" s="497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44"/>
        <v>0</v>
      </c>
      <c r="I67" s="361">
        <f t="shared" ca="1" si="45"/>
        <v>0</v>
      </c>
      <c r="J67" s="361">
        <f t="shared" ca="1" si="46"/>
        <v>0</v>
      </c>
      <c r="K67" s="362">
        <f t="shared" ca="1" si="47"/>
        <v>0</v>
      </c>
    </row>
    <row r="68" spans="2:11">
      <c r="B68" s="515" t="s">
        <v>1035</v>
      </c>
      <c r="C68" s="516" t="s">
        <v>1619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23">
        <v>1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:H80" ca="1" si="48">IF(OR(D68="MDU",D68="MDU-KD"),(IF($O$3="RAB NON MDU","PLN KD",G68*F68)),0)</f>
        <v>0</v>
      </c>
      <c r="I68" s="361">
        <f t="shared" ref="I68:I80" ca="1" si="49">IF(D68="HDW",G68*F68,0)</f>
        <v>0</v>
      </c>
      <c r="J68" s="361">
        <f t="shared" ref="J68:J80" ca="1" si="50">IF(D68="JASA",G68*F68,0)</f>
        <v>0</v>
      </c>
      <c r="K68" s="362">
        <f t="shared" ref="K68:K80" ca="1" si="51">SUM(H68:J68)</f>
        <v>0</v>
      </c>
    </row>
    <row r="69" spans="2:11">
      <c r="B69" s="515">
        <v>1</v>
      </c>
      <c r="C69" s="506" t="s">
        <v>532</v>
      </c>
      <c r="D69" s="358" t="str">
        <f ca="1">IF(ISERROR(OFFSET('HARGA SATUAN'!$D$6,MATCH(RAB!C69,'HARGA SATUAN'!$C$7:$C$1492,0),0)),"",OFFSET('HARGA SATUAN'!$D$6,MATCH(RAB!C69,'HARGA SATUAN'!$C$7:$C$1492,0),0))</f>
        <v>MDU-KD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7">
        <f>F68*1</f>
        <v>1</v>
      </c>
      <c r="G69" s="360">
        <f ca="1">IF(ISERROR(OFFSET('HARGA SATUAN'!$I$6,MATCH(RAB!C69,'HARGA SATUAN'!$C$7:$C$1492,0),0)),0,OFFSET('HARGA SATUAN'!$I$6,MATCH(RAB!C69,'HARGA SATUAN'!$C$7:$C$1492,0),0))</f>
        <v>27845400</v>
      </c>
      <c r="H69" s="361">
        <f t="shared" ca="1" si="48"/>
        <v>27845400</v>
      </c>
      <c r="I69" s="361">
        <f t="shared" ca="1" si="49"/>
        <v>0</v>
      </c>
      <c r="J69" s="361">
        <f t="shared" ca="1" si="50"/>
        <v>0</v>
      </c>
      <c r="K69" s="362">
        <f t="shared" ca="1" si="51"/>
        <v>27845400</v>
      </c>
    </row>
    <row r="70" spans="2:11">
      <c r="B70" s="503">
        <v>2</v>
      </c>
      <c r="C70" s="506" t="s">
        <v>1612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7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48"/>
        <v>0</v>
      </c>
      <c r="I70" s="361">
        <f t="shared" ca="1" si="49"/>
        <v>0</v>
      </c>
      <c r="J70" s="361">
        <f t="shared" ca="1" si="50"/>
        <v>0</v>
      </c>
      <c r="K70" s="362">
        <f t="shared" ca="1" si="51"/>
        <v>0</v>
      </c>
    </row>
    <row r="71" spans="2:11">
      <c r="B71" s="503"/>
      <c r="C71" s="506" t="s">
        <v>65</v>
      </c>
      <c r="D71" s="358" t="str">
        <f ca="1">IF(ISERROR(OFFSET('HARGA SATUAN'!$D$6,MATCH(RAB!C71,'HARGA SATUAN'!$C$7:$C$1492,0),0)),"",OFFSET('HARGA SATUAN'!$D$6,MATCH(RAB!C71,'HARGA SATUAN'!$C$7:$C$1492,0),0))</f>
        <v>MDU-KD</v>
      </c>
      <c r="E71" s="359" t="str">
        <f ca="1">IF(B71="+","Unit",IF(ISERROR(OFFSET('HARGA SATUAN'!$E$6,MATCH(RAB!C71,'HARGA SATUAN'!$C$7:$C$1492,0),0)),"",OFFSET('HARGA SATUAN'!$E$6,MATCH(RAB!C71,'HARGA SATUAN'!$C$7:$C$1492,0),0)))</f>
        <v>Mtr</v>
      </c>
      <c r="F71" s="507">
        <f>F68*2</f>
        <v>2</v>
      </c>
      <c r="G71" s="360">
        <f ca="1">IF(ISERROR(OFFSET('HARGA SATUAN'!$I$6,MATCH(RAB!C71,'HARGA SATUAN'!$C$7:$C$1492,0),0)),0,OFFSET('HARGA SATUAN'!$I$6,MATCH(RAB!C71,'HARGA SATUAN'!$C$7:$C$1492,0),0))</f>
        <v>14200</v>
      </c>
      <c r="H71" s="361">
        <f t="shared" ca="1" si="48"/>
        <v>28400</v>
      </c>
      <c r="I71" s="361">
        <f t="shared" ca="1" si="49"/>
        <v>0</v>
      </c>
      <c r="J71" s="361">
        <f t="shared" ca="1" si="50"/>
        <v>0</v>
      </c>
      <c r="K71" s="362">
        <f t="shared" ca="1" si="51"/>
        <v>28400</v>
      </c>
    </row>
    <row r="72" spans="2:11">
      <c r="B72" s="515"/>
      <c r="C72" s="506" t="s">
        <v>1620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7">
        <f>F68*2</f>
        <v>2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48"/>
        <v>0</v>
      </c>
      <c r="I72" s="361">
        <f t="shared" ca="1" si="49"/>
        <v>0</v>
      </c>
      <c r="J72" s="361">
        <f t="shared" ca="1" si="50"/>
        <v>0</v>
      </c>
      <c r="K72" s="362">
        <f t="shared" ca="1" si="51"/>
        <v>0</v>
      </c>
    </row>
    <row r="73" spans="2:11">
      <c r="B73" s="515">
        <v>3</v>
      </c>
      <c r="C73" s="506" t="s">
        <v>207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7">
        <f>F68*1</f>
        <v>1</v>
      </c>
      <c r="G73" s="360">
        <f ca="1">IF(ISERROR(OFFSET('HARGA SATUAN'!$I$6,MATCH(RAB!C73,'HARGA SATUAN'!$C$7:$C$1492,0),0)),0,OFFSET('HARGA SATUAN'!$I$6,MATCH(RAB!C73,'HARGA SATUAN'!$C$7:$C$1492,0),0))</f>
        <v>87000</v>
      </c>
      <c r="H73" s="361">
        <f t="shared" ca="1" si="48"/>
        <v>0</v>
      </c>
      <c r="I73" s="361">
        <f t="shared" ca="1" si="49"/>
        <v>87000</v>
      </c>
      <c r="J73" s="361">
        <f t="shared" ca="1" si="50"/>
        <v>0</v>
      </c>
      <c r="K73" s="362">
        <f t="shared" ca="1" si="51"/>
        <v>87000</v>
      </c>
    </row>
    <row r="74" spans="2:11">
      <c r="B74" s="515">
        <v>4</v>
      </c>
      <c r="C74" s="506" t="s">
        <v>176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7">
        <f>F68*2</f>
        <v>2</v>
      </c>
      <c r="G74" s="360">
        <f ca="1">IF(ISERROR(OFFSET('HARGA SATUAN'!$I$6,MATCH(RAB!C74,'HARGA SATUAN'!$C$7:$C$1492,0),0)),0,OFFSET('HARGA SATUAN'!$I$6,MATCH(RAB!C74,'HARGA SATUAN'!$C$7:$C$1492,0),0))</f>
        <v>404600</v>
      </c>
      <c r="H74" s="361">
        <f t="shared" ca="1" si="48"/>
        <v>0</v>
      </c>
      <c r="I74" s="361">
        <f t="shared" ca="1" si="49"/>
        <v>809200</v>
      </c>
      <c r="J74" s="361">
        <f t="shared" ca="1" si="50"/>
        <v>0</v>
      </c>
      <c r="K74" s="362">
        <f t="shared" ca="1" si="51"/>
        <v>809200</v>
      </c>
    </row>
    <row r="75" spans="2:11">
      <c r="B75" s="515">
        <v>5</v>
      </c>
      <c r="C75" s="506" t="s">
        <v>184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7">
        <f>F68*3</f>
        <v>3</v>
      </c>
      <c r="G75" s="360">
        <f ca="1">IF(ISERROR(OFFSET('HARGA SATUAN'!$I$6,MATCH(RAB!C75,'HARGA SATUAN'!$C$7:$C$1492,0),0)),0,OFFSET('HARGA SATUAN'!$I$6,MATCH(RAB!C75,'HARGA SATUAN'!$C$7:$C$1492,0),0))</f>
        <v>15900</v>
      </c>
      <c r="H75" s="361">
        <f t="shared" ca="1" si="48"/>
        <v>0</v>
      </c>
      <c r="I75" s="361">
        <f t="shared" ca="1" si="49"/>
        <v>47700</v>
      </c>
      <c r="J75" s="361">
        <f t="shared" ca="1" si="50"/>
        <v>0</v>
      </c>
      <c r="K75" s="362">
        <f t="shared" ca="1" si="51"/>
        <v>47700</v>
      </c>
    </row>
    <row r="76" spans="2:11">
      <c r="B76" s="515">
        <v>6</v>
      </c>
      <c r="C76" s="506" t="s">
        <v>187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7">
        <f>F68*2</f>
        <v>2</v>
      </c>
      <c r="G76" s="360">
        <f ca="1">IF(ISERROR(OFFSET('HARGA SATUAN'!$I$6,MATCH(RAB!C76,'HARGA SATUAN'!$C$7:$C$1492,0),0)),0,OFFSET('HARGA SATUAN'!$I$6,MATCH(RAB!C76,'HARGA SATUAN'!$C$7:$C$1492,0),0))</f>
        <v>17100</v>
      </c>
      <c r="H76" s="361">
        <f t="shared" ca="1" si="48"/>
        <v>0</v>
      </c>
      <c r="I76" s="361">
        <f t="shared" ca="1" si="49"/>
        <v>34200</v>
      </c>
      <c r="J76" s="361">
        <f t="shared" ca="1" si="50"/>
        <v>0</v>
      </c>
      <c r="K76" s="362">
        <f t="shared" ca="1" si="51"/>
        <v>34200</v>
      </c>
    </row>
    <row r="77" spans="2:11">
      <c r="B77" s="515">
        <v>7</v>
      </c>
      <c r="C77" s="506" t="s">
        <v>1621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507">
        <f>F68*4</f>
        <v>4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8"/>
        <v>0</v>
      </c>
      <c r="I77" s="361">
        <f t="shared" ca="1" si="49"/>
        <v>0</v>
      </c>
      <c r="J77" s="361">
        <f t="shared" ca="1" si="50"/>
        <v>0</v>
      </c>
      <c r="K77" s="362">
        <f t="shared" ca="1" si="51"/>
        <v>0</v>
      </c>
    </row>
    <row r="78" spans="2:11">
      <c r="B78" s="515">
        <v>8</v>
      </c>
      <c r="C78" s="506" t="s">
        <v>149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Set</v>
      </c>
      <c r="F78" s="507">
        <f>F68*1</f>
        <v>1</v>
      </c>
      <c r="G78" s="360">
        <f ca="1">IF(ISERROR(OFFSET('HARGA SATUAN'!$I$6,MATCH(RAB!C78,'HARGA SATUAN'!$C$7:$C$1492,0),0)),0,OFFSET('HARGA SATUAN'!$I$6,MATCH(RAB!C78,'HARGA SATUAN'!$C$7:$C$1492,0),0))</f>
        <v>67800</v>
      </c>
      <c r="H78" s="361">
        <f t="shared" ca="1" si="48"/>
        <v>0</v>
      </c>
      <c r="I78" s="361">
        <f t="shared" ca="1" si="49"/>
        <v>67800</v>
      </c>
      <c r="J78" s="361">
        <f t="shared" ca="1" si="50"/>
        <v>0</v>
      </c>
      <c r="K78" s="362">
        <f t="shared" ca="1" si="51"/>
        <v>67800</v>
      </c>
    </row>
    <row r="79" spans="2:11">
      <c r="B79" s="515">
        <v>9</v>
      </c>
      <c r="C79" s="506" t="s">
        <v>32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Mtr</v>
      </c>
      <c r="F79" s="507">
        <f>F68*2</f>
        <v>2</v>
      </c>
      <c r="G79" s="360">
        <f ca="1">IF(ISERROR(OFFSET('HARGA SATUAN'!$I$6,MATCH(RAB!C79,'HARGA SATUAN'!$C$7:$C$1492,0),0)),0,OFFSET('HARGA SATUAN'!$I$6,MATCH(RAB!C79,'HARGA SATUAN'!$C$7:$C$1492,0),0))</f>
        <v>30000</v>
      </c>
      <c r="H79" s="361">
        <f t="shared" ca="1" si="48"/>
        <v>0</v>
      </c>
      <c r="I79" s="361">
        <f t="shared" ca="1" si="49"/>
        <v>60000</v>
      </c>
      <c r="J79" s="361">
        <f t="shared" ca="1" si="50"/>
        <v>0</v>
      </c>
      <c r="K79" s="362">
        <f t="shared" ca="1" si="51"/>
        <v>60000</v>
      </c>
    </row>
    <row r="80" spans="2:11">
      <c r="B80" s="515">
        <v>10</v>
      </c>
      <c r="C80" s="506" t="s">
        <v>781</v>
      </c>
      <c r="D80" s="358" t="str">
        <f ca="1">IF(ISERROR(OFFSET('HARGA SATUAN'!$D$6,MATCH(RAB!C80,'HARGA SATUAN'!$C$7:$C$1492,0),0)),"",OFFSET('HARGA SATUAN'!$D$6,MATCH(RAB!C80,'HARGA SATUAN'!$C$7:$C$1492,0),0))</f>
        <v>JASA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507">
        <f>F68*1</f>
        <v>1</v>
      </c>
      <c r="G80" s="360">
        <f ca="1">IF(ISERROR(OFFSET('HARGA SATUAN'!$I$6,MATCH(RAB!C80,'HARGA SATUAN'!$C$7:$C$1492,0),0)),0,OFFSET('HARGA SATUAN'!$I$6,MATCH(RAB!C80,'HARGA SATUAN'!$C$7:$C$1492,0),0))</f>
        <v>346400</v>
      </c>
      <c r="H80" s="361">
        <f t="shared" ca="1" si="48"/>
        <v>0</v>
      </c>
      <c r="I80" s="361">
        <f t="shared" ca="1" si="49"/>
        <v>0</v>
      </c>
      <c r="J80" s="361">
        <f t="shared" ca="1" si="50"/>
        <v>346400</v>
      </c>
      <c r="K80" s="362">
        <f t="shared" ca="1" si="51"/>
        <v>346400</v>
      </c>
    </row>
    <row r="81" spans="2:11">
      <c r="B81" s="508"/>
      <c r="C81" s="109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501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ref="H81" ca="1" si="52">IF(OR(D81="MDU",D81="MDU-KD"),(IF($O$3="RAB NON MDU","PLN KD",G81*F81)),0)</f>
        <v>0</v>
      </c>
      <c r="I81" s="361">
        <f t="shared" ref="I81" ca="1" si="53">IF(D81="HDW",G81*F81,0)</f>
        <v>0</v>
      </c>
      <c r="J81" s="361">
        <f t="shared" ref="J81" ca="1" si="54">IF(D81="JASA",G81*F81,0)</f>
        <v>0</v>
      </c>
      <c r="K81" s="362">
        <f t="shared" ref="K81" ca="1" si="55">SUM(H81:J81)</f>
        <v>0</v>
      </c>
    </row>
    <row r="82" spans="2:11">
      <c r="B82" s="503" t="s">
        <v>1035</v>
      </c>
      <c r="C82" s="504" t="s">
        <v>1613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01">
        <v>2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92" ca="1" si="56">IF(OR(D82="MDU",D82="MDU-KD"),(IF($O$3="RAB NON MDU","PLN KD",G82*F82)),0)</f>
        <v>0</v>
      </c>
      <c r="I82" s="361">
        <f t="shared" ref="I82:I92" ca="1" si="57">IF(D82="HDW",G82*F82,0)</f>
        <v>0</v>
      </c>
      <c r="J82" s="361">
        <f t="shared" ref="J82:J92" ca="1" si="58">IF(D82="JASA",G82*F82,0)</f>
        <v>0</v>
      </c>
      <c r="K82" s="362">
        <f t="shared" ref="K82:K92" ca="1" si="59">SUM(H82:J82)</f>
        <v>0</v>
      </c>
    </row>
    <row r="83" spans="2:11">
      <c r="B83" s="503">
        <v>1</v>
      </c>
      <c r="C83" s="505" t="s">
        <v>29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1">
        <f>F82*1</f>
        <v>2</v>
      </c>
      <c r="G83" s="360">
        <f ca="1">IF(ISERROR(OFFSET('HARGA SATUAN'!$I$6,MATCH(RAB!C83,'HARGA SATUAN'!$C$7:$C$1492,0),0)),0,OFFSET('HARGA SATUAN'!$I$6,MATCH(RAB!C83,'HARGA SATUAN'!$C$7:$C$1492,0),0))</f>
        <v>185200</v>
      </c>
      <c r="H83" s="361">
        <f t="shared" ca="1" si="56"/>
        <v>0</v>
      </c>
      <c r="I83" s="361">
        <f t="shared" ca="1" si="57"/>
        <v>370400</v>
      </c>
      <c r="J83" s="361">
        <f t="shared" ca="1" si="58"/>
        <v>0</v>
      </c>
      <c r="K83" s="362">
        <f t="shared" ca="1" si="59"/>
        <v>370400</v>
      </c>
    </row>
    <row r="84" spans="2:11">
      <c r="B84" s="498">
        <v>2</v>
      </c>
      <c r="C84" s="499" t="s">
        <v>30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1">
        <f>F82*1</f>
        <v>2</v>
      </c>
      <c r="G84" s="360">
        <f ca="1">IF(ISERROR(OFFSET('HARGA SATUAN'!$I$6,MATCH(RAB!C84,'HARGA SATUAN'!$C$7:$C$1492,0),0)),0,OFFSET('HARGA SATUAN'!$I$6,MATCH(RAB!C84,'HARGA SATUAN'!$C$7:$C$1492,0),0))</f>
        <v>47459</v>
      </c>
      <c r="H84" s="361">
        <f t="shared" ca="1" si="56"/>
        <v>0</v>
      </c>
      <c r="I84" s="361">
        <f t="shared" ca="1" si="57"/>
        <v>94918</v>
      </c>
      <c r="J84" s="361">
        <f t="shared" ca="1" si="58"/>
        <v>0</v>
      </c>
      <c r="K84" s="362">
        <f t="shared" ca="1" si="59"/>
        <v>94918</v>
      </c>
    </row>
    <row r="85" spans="2:11">
      <c r="B85" s="498">
        <v>3</v>
      </c>
      <c r="C85" s="499" t="s">
        <v>31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1">
        <f>F82*1</f>
        <v>2</v>
      </c>
      <c r="G85" s="360">
        <f ca="1">IF(ISERROR(OFFSET('HARGA SATUAN'!$I$6,MATCH(RAB!C85,'HARGA SATUAN'!$C$7:$C$1492,0),0)),0,OFFSET('HARGA SATUAN'!$I$6,MATCH(RAB!C85,'HARGA SATUAN'!$C$7:$C$1492,0),0))</f>
        <v>4880</v>
      </c>
      <c r="H85" s="361">
        <f t="shared" ca="1" si="56"/>
        <v>0</v>
      </c>
      <c r="I85" s="361">
        <f t="shared" ca="1" si="57"/>
        <v>9760</v>
      </c>
      <c r="J85" s="361">
        <f t="shared" ca="1" si="58"/>
        <v>0</v>
      </c>
      <c r="K85" s="362">
        <f t="shared" ca="1" si="59"/>
        <v>9760</v>
      </c>
    </row>
    <row r="86" spans="2:11">
      <c r="B86" s="498">
        <v>4</v>
      </c>
      <c r="C86" s="499" t="s">
        <v>32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Mtr</v>
      </c>
      <c r="F86" s="501">
        <f>F82*10</f>
        <v>20</v>
      </c>
      <c r="G86" s="360">
        <f ca="1">IF(ISERROR(OFFSET('HARGA SATUAN'!$I$6,MATCH(RAB!C86,'HARGA SATUAN'!$C$7:$C$1492,0),0)),0,OFFSET('HARGA SATUAN'!$I$6,MATCH(RAB!C86,'HARGA SATUAN'!$C$7:$C$1492,0),0))</f>
        <v>30000</v>
      </c>
      <c r="H86" s="361">
        <f t="shared" ca="1" si="56"/>
        <v>0</v>
      </c>
      <c r="I86" s="361">
        <f t="shared" ca="1" si="57"/>
        <v>600000</v>
      </c>
      <c r="J86" s="361">
        <f t="shared" ca="1" si="58"/>
        <v>0</v>
      </c>
      <c r="K86" s="362">
        <f t="shared" ca="1" si="59"/>
        <v>600000</v>
      </c>
    </row>
    <row r="87" spans="2:11">
      <c r="B87" s="498">
        <v>5</v>
      </c>
      <c r="C87" s="499" t="s">
        <v>33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1">
        <f>F82*2</f>
        <v>4</v>
      </c>
      <c r="G87" s="360">
        <f ca="1">IF(ISERROR(OFFSET('HARGA SATUAN'!$I$6,MATCH(RAB!C87,'HARGA SATUAN'!$C$7:$C$1492,0),0)),0,OFFSET('HARGA SATUAN'!$I$6,MATCH(RAB!C87,'HARGA SATUAN'!$C$7:$C$1492,0),0))</f>
        <v>9500</v>
      </c>
      <c r="H87" s="361">
        <f t="shared" ca="1" si="56"/>
        <v>0</v>
      </c>
      <c r="I87" s="361">
        <f t="shared" ca="1" si="57"/>
        <v>38000</v>
      </c>
      <c r="J87" s="361">
        <f t="shared" ca="1" si="58"/>
        <v>0</v>
      </c>
      <c r="K87" s="362">
        <f t="shared" ca="1" si="59"/>
        <v>38000</v>
      </c>
    </row>
    <row r="88" spans="2:11">
      <c r="B88" s="498">
        <v>6</v>
      </c>
      <c r="C88" s="499" t="s">
        <v>34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1">
        <f>F82*5.5</f>
        <v>11</v>
      </c>
      <c r="G88" s="360">
        <f ca="1">IF(ISERROR(OFFSET('HARGA SATUAN'!$I$6,MATCH(RAB!C88,'HARGA SATUAN'!$C$7:$C$1492,0),0)),0,OFFSET('HARGA SATUAN'!$I$6,MATCH(RAB!C88,'HARGA SATUAN'!$C$7:$C$1492,0),0))</f>
        <v>6100</v>
      </c>
      <c r="H88" s="361">
        <f t="shared" ca="1" si="56"/>
        <v>0</v>
      </c>
      <c r="I88" s="361">
        <f t="shared" ca="1" si="57"/>
        <v>67100</v>
      </c>
      <c r="J88" s="361">
        <f t="shared" ca="1" si="58"/>
        <v>0</v>
      </c>
      <c r="K88" s="362">
        <f t="shared" ca="1" si="59"/>
        <v>67100</v>
      </c>
    </row>
    <row r="89" spans="2:11">
      <c r="B89" s="498">
        <v>7</v>
      </c>
      <c r="C89" s="499" t="s">
        <v>35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1">
        <f>F82*6</f>
        <v>12</v>
      </c>
      <c r="G89" s="360">
        <f ca="1">IF(ISERROR(OFFSET('HARGA SATUAN'!$I$6,MATCH(RAB!C89,'HARGA SATUAN'!$C$7:$C$1492,0),0)),0,OFFSET('HARGA SATUAN'!$I$6,MATCH(RAB!C89,'HARGA SATUAN'!$C$7:$C$1492,0),0))</f>
        <v>2300</v>
      </c>
      <c r="H89" s="361">
        <f t="shared" ca="1" si="56"/>
        <v>0</v>
      </c>
      <c r="I89" s="361">
        <f t="shared" ca="1" si="57"/>
        <v>27600</v>
      </c>
      <c r="J89" s="361">
        <f t="shared" ca="1" si="58"/>
        <v>0</v>
      </c>
      <c r="K89" s="362">
        <f t="shared" ca="1" si="59"/>
        <v>27600</v>
      </c>
    </row>
    <row r="90" spans="2:11">
      <c r="B90" s="498">
        <v>8</v>
      </c>
      <c r="C90" s="499" t="s">
        <v>1614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Mtr</v>
      </c>
      <c r="F90" s="501">
        <f>F82*4.8</f>
        <v>9.6</v>
      </c>
      <c r="G90" s="360">
        <f ca="1">IF(ISERROR(OFFSET('HARGA SATUAN'!$I$6,MATCH(RAB!C90,'HARGA SATUAN'!$C$7:$C$1492,0),0)),0,OFFSET('HARGA SATUAN'!$I$6,MATCH(RAB!C90,'HARGA SATUAN'!$C$7:$C$1492,0),0))</f>
        <v>23310</v>
      </c>
      <c r="H90" s="361">
        <f t="shared" ca="1" si="56"/>
        <v>0</v>
      </c>
      <c r="I90" s="361">
        <f t="shared" ca="1" si="57"/>
        <v>223776</v>
      </c>
      <c r="J90" s="361">
        <f t="shared" ca="1" si="58"/>
        <v>0</v>
      </c>
      <c r="K90" s="362">
        <f t="shared" ca="1" si="59"/>
        <v>223776</v>
      </c>
    </row>
    <row r="91" spans="2:11">
      <c r="B91" s="498">
        <v>9</v>
      </c>
      <c r="C91" s="499" t="s">
        <v>736</v>
      </c>
      <c r="D91" s="358" t="str">
        <f ca="1">IF(ISERROR(OFFSET('HARGA SATUAN'!$D$6,MATCH(RAB!C91,'HARGA SATUAN'!$C$7:$C$1492,0),0)),"",OFFSET('HARGA SATUAN'!$D$6,MATCH(RAB!C91,'HARGA SATUAN'!$C$7:$C$1492,0),0))</f>
        <v>JASA</v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501">
        <f>F82*1</f>
        <v>2</v>
      </c>
      <c r="G91" s="360">
        <f ca="1">IF(ISERROR(OFFSET('HARGA SATUAN'!$I$6,MATCH(RAB!C91,'HARGA SATUAN'!$C$7:$C$1492,0),0)),0,OFFSET('HARGA SATUAN'!$I$6,MATCH(RAB!C91,'HARGA SATUAN'!$C$7:$C$1492,0),0))</f>
        <v>65400</v>
      </c>
      <c r="H91" s="361">
        <f t="shared" ca="1" si="56"/>
        <v>0</v>
      </c>
      <c r="I91" s="361">
        <f t="shared" ca="1" si="57"/>
        <v>0</v>
      </c>
      <c r="J91" s="361">
        <f t="shared" ca="1" si="58"/>
        <v>130800</v>
      </c>
      <c r="K91" s="362">
        <f t="shared" ca="1" si="59"/>
        <v>130800</v>
      </c>
    </row>
    <row r="92" spans="2:11">
      <c r="B92" s="494"/>
      <c r="C92" s="497"/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502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56"/>
        <v>0</v>
      </c>
      <c r="I92" s="361">
        <f t="shared" ca="1" si="57"/>
        <v>0</v>
      </c>
      <c r="J92" s="361">
        <f t="shared" ca="1" si="58"/>
        <v>0</v>
      </c>
      <c r="K92" s="362">
        <f t="shared" ca="1" si="59"/>
        <v>0</v>
      </c>
    </row>
    <row r="93" spans="2:11">
      <c r="B93" s="495" t="s">
        <v>1609</v>
      </c>
      <c r="C93" s="500" t="s">
        <v>1615</v>
      </c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368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ref="H93:H99" ca="1" si="60">IF(OR(D93="MDU",D93="MDU-KD"),(IF($O$3="RAB NON MDU","PLN KD",G93*F93)),0)</f>
        <v>0</v>
      </c>
      <c r="I93" s="361">
        <f t="shared" ref="I93:I99" ca="1" si="61">IF(D93="HDW",G93*F93,0)</f>
        <v>0</v>
      </c>
      <c r="J93" s="361">
        <f t="shared" ref="J93:J99" ca="1" si="62">IF(D93="JASA",G93*F93,0)</f>
        <v>0</v>
      </c>
      <c r="K93" s="362">
        <f t="shared" ref="K93:K99" ca="1" si="63">SUM(H93:J93)</f>
        <v>0</v>
      </c>
    </row>
    <row r="94" spans="2:11">
      <c r="B94" s="495"/>
      <c r="C94" s="496"/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510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60"/>
        <v>0</v>
      </c>
      <c r="I94" s="361">
        <f t="shared" ca="1" si="61"/>
        <v>0</v>
      </c>
      <c r="J94" s="361">
        <f t="shared" ca="1" si="62"/>
        <v>0</v>
      </c>
      <c r="K94" s="362">
        <f t="shared" ca="1" si="63"/>
        <v>0</v>
      </c>
    </row>
    <row r="95" spans="2:11">
      <c r="B95" s="495" t="s">
        <v>1035</v>
      </c>
      <c r="C95" s="496" t="s">
        <v>1623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518">
        <v>1</v>
      </c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60"/>
        <v>0</v>
      </c>
      <c r="I95" s="361">
        <f t="shared" ca="1" si="61"/>
        <v>0</v>
      </c>
      <c r="J95" s="361">
        <f t="shared" ca="1" si="62"/>
        <v>0</v>
      </c>
      <c r="K95" s="362">
        <f t="shared" ca="1" si="63"/>
        <v>0</v>
      </c>
    </row>
    <row r="96" spans="2:11" ht="30">
      <c r="B96" s="515">
        <v>1</v>
      </c>
      <c r="C96" s="109" t="s">
        <v>1141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18">
        <f>F95*1</f>
        <v>1</v>
      </c>
      <c r="G96" s="360">
        <f ca="1">IF(ISERROR(OFFSET('HARGA SATUAN'!$I$6,MATCH(RAB!C96,'HARGA SATUAN'!$C$7:$C$1492,0),0)),0,OFFSET('HARGA SATUAN'!$I$6,MATCH(RAB!C96,'HARGA SATUAN'!$C$7:$C$1492,0),0))</f>
        <v>1740750</v>
      </c>
      <c r="H96" s="361">
        <f t="shared" ca="1" si="60"/>
        <v>1740750</v>
      </c>
      <c r="I96" s="361">
        <f t="shared" ca="1" si="61"/>
        <v>0</v>
      </c>
      <c r="J96" s="361">
        <f t="shared" ca="1" si="62"/>
        <v>0</v>
      </c>
      <c r="K96" s="362">
        <f t="shared" ca="1" si="63"/>
        <v>1740750</v>
      </c>
    </row>
    <row r="97" spans="2:11">
      <c r="B97" s="515">
        <v>2</v>
      </c>
      <c r="C97" s="517" t="s">
        <v>493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18">
        <f>F95*1</f>
        <v>1</v>
      </c>
      <c r="G97" s="360">
        <f ca="1">IF(ISERROR(OFFSET('HARGA SATUAN'!$I$6,MATCH(RAB!C97,'HARGA SATUAN'!$C$7:$C$1492,0),0)),0,OFFSET('HARGA SATUAN'!$I$6,MATCH(RAB!C97,'HARGA SATUAN'!$C$7:$C$1492,0),0))</f>
        <v>39000</v>
      </c>
      <c r="H97" s="361">
        <f t="shared" ca="1" si="60"/>
        <v>39000</v>
      </c>
      <c r="I97" s="361">
        <f t="shared" ca="1" si="61"/>
        <v>0</v>
      </c>
      <c r="J97" s="361">
        <f t="shared" ca="1" si="62"/>
        <v>0</v>
      </c>
      <c r="K97" s="362">
        <f t="shared" ca="1" si="63"/>
        <v>39000</v>
      </c>
    </row>
    <row r="98" spans="2:11">
      <c r="B98" s="515">
        <v>3</v>
      </c>
      <c r="C98" s="517" t="s">
        <v>74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Mtr</v>
      </c>
      <c r="F98" s="518">
        <f>F95*35</f>
        <v>35</v>
      </c>
      <c r="G98" s="360">
        <f ca="1">IF(ISERROR(OFFSET('HARGA SATUAN'!$I$6,MATCH(RAB!C98,'HARGA SATUAN'!$C$7:$C$1492,0),0)),0,OFFSET('HARGA SATUAN'!$I$6,MATCH(RAB!C98,'HARGA SATUAN'!$C$7:$C$1492,0),0))</f>
        <v>6600</v>
      </c>
      <c r="H98" s="361">
        <f t="shared" ca="1" si="60"/>
        <v>231000</v>
      </c>
      <c r="I98" s="361">
        <f t="shared" ca="1" si="61"/>
        <v>0</v>
      </c>
      <c r="J98" s="361">
        <f t="shared" ca="1" si="62"/>
        <v>0</v>
      </c>
      <c r="K98" s="362">
        <f t="shared" ca="1" si="63"/>
        <v>231000</v>
      </c>
    </row>
    <row r="99" spans="2:11">
      <c r="B99" s="515">
        <v>4</v>
      </c>
      <c r="C99" s="517" t="s">
        <v>798</v>
      </c>
      <c r="D99" s="358" t="str">
        <f ca="1">IF(ISERROR(OFFSET('HARGA SATUAN'!$D$6,MATCH(RAB!C99,'HARGA SATUAN'!$C$7:$C$1492,0),0)),"",OFFSET('HARGA SATUAN'!$D$6,MATCH(RAB!C99,'HARGA SATUAN'!$C$7:$C$1492,0),0))</f>
        <v>JASA</v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518">
        <f>F95*1</f>
        <v>1</v>
      </c>
      <c r="G99" s="360">
        <f ca="1">IF(ISERROR(OFFSET('HARGA SATUAN'!$I$6,MATCH(RAB!C99,'HARGA SATUAN'!$C$7:$C$1492,0),0)),0,OFFSET('HARGA SATUAN'!$I$6,MATCH(RAB!C99,'HARGA SATUAN'!$C$7:$C$1492,0),0))</f>
        <v>54400</v>
      </c>
      <c r="H99" s="361">
        <f t="shared" ca="1" si="60"/>
        <v>0</v>
      </c>
      <c r="I99" s="361">
        <f t="shared" ca="1" si="61"/>
        <v>0</v>
      </c>
      <c r="J99" s="361">
        <f t="shared" ca="1" si="62"/>
        <v>54400</v>
      </c>
      <c r="K99" s="362">
        <f t="shared" ca="1" si="63"/>
        <v>54400</v>
      </c>
    </row>
    <row r="100" spans="2:11">
      <c r="B100" s="374"/>
      <c r="C100" s="509"/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368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ref="H100:H112" ca="1" si="64">IF(OR(D100="MDU",D100="MDU-KD"),(IF($O$3="RAB NON MDU","PLN KD",G100*F100)),0)</f>
        <v>0</v>
      </c>
      <c r="I100" s="361">
        <f t="shared" ref="I100:I112" ca="1" si="65">IF(D100="HDW",G100*F100,0)</f>
        <v>0</v>
      </c>
      <c r="J100" s="361">
        <f t="shared" ref="J100:J112" ca="1" si="66">IF(D100="JASA",G100*F100,0)</f>
        <v>0</v>
      </c>
      <c r="K100" s="362">
        <f t="shared" ref="K100:K112" ca="1" si="67">SUM(H100:J100)</f>
        <v>0</v>
      </c>
    </row>
    <row r="101" spans="2:11">
      <c r="B101" s="515" t="s">
        <v>1035</v>
      </c>
      <c r="C101" s="517" t="s">
        <v>1622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18">
        <v>1</v>
      </c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64"/>
        <v>0</v>
      </c>
      <c r="I101" s="361">
        <f t="shared" ca="1" si="65"/>
        <v>0</v>
      </c>
      <c r="J101" s="361">
        <f t="shared" ca="1" si="66"/>
        <v>0</v>
      </c>
      <c r="K101" s="362">
        <f t="shared" ca="1" si="67"/>
        <v>0</v>
      </c>
    </row>
    <row r="102" spans="2:11">
      <c r="B102" s="515">
        <v>1</v>
      </c>
      <c r="C102" s="517" t="s">
        <v>115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Set</v>
      </c>
      <c r="F102" s="518">
        <f>F101*1</f>
        <v>1</v>
      </c>
      <c r="G102" s="360">
        <f ca="1">IF(ISERROR(OFFSET('HARGA SATUAN'!$I$6,MATCH(RAB!C102,'HARGA SATUAN'!$C$7:$C$1492,0),0)),0,OFFSET('HARGA SATUAN'!$I$6,MATCH(RAB!C102,'HARGA SATUAN'!$C$7:$C$1492,0),0))</f>
        <v>11500</v>
      </c>
      <c r="H102" s="361">
        <f t="shared" ca="1" si="64"/>
        <v>0</v>
      </c>
      <c r="I102" s="361">
        <f t="shared" ca="1" si="65"/>
        <v>11500</v>
      </c>
      <c r="J102" s="361">
        <f t="shared" ca="1" si="66"/>
        <v>0</v>
      </c>
      <c r="K102" s="362">
        <f t="shared" ca="1" si="67"/>
        <v>11500</v>
      </c>
    </row>
    <row r="103" spans="2:11">
      <c r="B103" s="515">
        <v>2</v>
      </c>
      <c r="C103" s="517" t="s">
        <v>145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Set</v>
      </c>
      <c r="F103" s="518">
        <f>F101*1</f>
        <v>1</v>
      </c>
      <c r="G103" s="360">
        <f ca="1">IF(ISERROR(OFFSET('HARGA SATUAN'!$I$6,MATCH(RAB!C103,'HARGA SATUAN'!$C$7:$C$1492,0),0)),0,OFFSET('HARGA SATUAN'!$I$6,MATCH(RAB!C103,'HARGA SATUAN'!$C$7:$C$1492,0),0))</f>
        <v>6200</v>
      </c>
      <c r="H103" s="361">
        <f t="shared" ca="1" si="64"/>
        <v>0</v>
      </c>
      <c r="I103" s="361">
        <f t="shared" ca="1" si="65"/>
        <v>6200</v>
      </c>
      <c r="J103" s="361">
        <f t="shared" ca="1" si="66"/>
        <v>0</v>
      </c>
      <c r="K103" s="362">
        <f t="shared" ca="1" si="67"/>
        <v>6200</v>
      </c>
    </row>
    <row r="104" spans="2:11">
      <c r="B104" s="515">
        <v>3</v>
      </c>
      <c r="C104" s="517" t="s">
        <v>587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Btg</v>
      </c>
      <c r="F104" s="518">
        <f>F101*1</f>
        <v>1</v>
      </c>
      <c r="G104" s="360">
        <f ca="1">IF(ISERROR(OFFSET('HARGA SATUAN'!$I$6,MATCH(RAB!C104,'HARGA SATUAN'!$C$7:$C$1492,0),0)),0,OFFSET('HARGA SATUAN'!$I$6,MATCH(RAB!C104,'HARGA SATUAN'!$C$7:$C$1492,0),0))</f>
        <v>45796</v>
      </c>
      <c r="H104" s="361">
        <f t="shared" ca="1" si="64"/>
        <v>0</v>
      </c>
      <c r="I104" s="361">
        <f t="shared" ca="1" si="65"/>
        <v>45796</v>
      </c>
      <c r="J104" s="361">
        <f t="shared" ca="1" si="66"/>
        <v>0</v>
      </c>
      <c r="K104" s="362">
        <f t="shared" ca="1" si="67"/>
        <v>45796</v>
      </c>
    </row>
    <row r="105" spans="2:11">
      <c r="B105" s="515">
        <v>4</v>
      </c>
      <c r="C105" s="517" t="s">
        <v>118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Set</v>
      </c>
      <c r="F105" s="518">
        <f>F101*1</f>
        <v>1</v>
      </c>
      <c r="G105" s="360">
        <f ca="1">IF(ISERROR(OFFSET('HARGA SATUAN'!$I$6,MATCH(RAB!C105,'HARGA SATUAN'!$C$7:$C$1492,0),0)),0,OFFSET('HARGA SATUAN'!$I$6,MATCH(RAB!C105,'HARGA SATUAN'!$C$7:$C$1492,0),0))</f>
        <v>5300</v>
      </c>
      <c r="H105" s="361">
        <f t="shared" ca="1" si="64"/>
        <v>0</v>
      </c>
      <c r="I105" s="361">
        <f t="shared" ca="1" si="65"/>
        <v>5300</v>
      </c>
      <c r="J105" s="361">
        <f t="shared" ca="1" si="66"/>
        <v>0</v>
      </c>
      <c r="K105" s="362">
        <f t="shared" ca="1" si="67"/>
        <v>5300</v>
      </c>
    </row>
    <row r="106" spans="2:11">
      <c r="B106" s="515">
        <v>5</v>
      </c>
      <c r="C106" s="517" t="s">
        <v>117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18">
        <f>F101*1</f>
        <v>1</v>
      </c>
      <c r="G106" s="360">
        <f ca="1">IF(ISERROR(OFFSET('HARGA SATUAN'!$I$6,MATCH(RAB!C106,'HARGA SATUAN'!$C$7:$C$1492,0),0)),0,OFFSET('HARGA SATUAN'!$I$6,MATCH(RAB!C106,'HARGA SATUAN'!$C$7:$C$1492,0),0))</f>
        <v>58600</v>
      </c>
      <c r="H106" s="361">
        <f t="shared" ca="1" si="64"/>
        <v>0</v>
      </c>
      <c r="I106" s="361">
        <f t="shared" ca="1" si="65"/>
        <v>58600</v>
      </c>
      <c r="J106" s="361">
        <f t="shared" ca="1" si="66"/>
        <v>0</v>
      </c>
      <c r="K106" s="362">
        <f t="shared" ca="1" si="67"/>
        <v>58600</v>
      </c>
    </row>
    <row r="107" spans="2:11">
      <c r="B107" s="515">
        <v>6</v>
      </c>
      <c r="C107" s="109" t="s">
        <v>1154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Set</v>
      </c>
      <c r="F107" s="518">
        <f>F101*1</f>
        <v>1</v>
      </c>
      <c r="G107" s="360">
        <f ca="1">IF(ISERROR(OFFSET('HARGA SATUAN'!$I$6,MATCH(RAB!C107,'HARGA SATUAN'!$C$7:$C$1492,0),0)),0,OFFSET('HARGA SATUAN'!$I$6,MATCH(RAB!C107,'HARGA SATUAN'!$C$7:$C$1492,0),0))</f>
        <v>3888</v>
      </c>
      <c r="H107" s="361">
        <f t="shared" ca="1" si="64"/>
        <v>0</v>
      </c>
      <c r="I107" s="361">
        <f t="shared" ca="1" si="65"/>
        <v>3888</v>
      </c>
      <c r="J107" s="361">
        <f t="shared" ca="1" si="66"/>
        <v>0</v>
      </c>
      <c r="K107" s="362">
        <f t="shared" ca="1" si="67"/>
        <v>3888</v>
      </c>
    </row>
    <row r="108" spans="2:11">
      <c r="B108" s="515">
        <v>7</v>
      </c>
      <c r="C108" s="517" t="s">
        <v>119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Set</v>
      </c>
      <c r="F108" s="518">
        <f>F101*2</f>
        <v>2</v>
      </c>
      <c r="G108" s="360">
        <f ca="1">IF(ISERROR(OFFSET('HARGA SATUAN'!$I$6,MATCH(RAB!C108,'HARGA SATUAN'!$C$7:$C$1492,0),0)),0,OFFSET('HARGA SATUAN'!$I$6,MATCH(RAB!C108,'HARGA SATUAN'!$C$7:$C$1492,0),0))</f>
        <v>8900</v>
      </c>
      <c r="H108" s="361">
        <f t="shared" ca="1" si="64"/>
        <v>0</v>
      </c>
      <c r="I108" s="361">
        <f t="shared" ca="1" si="65"/>
        <v>17800</v>
      </c>
      <c r="J108" s="361">
        <f t="shared" ca="1" si="66"/>
        <v>0</v>
      </c>
      <c r="K108" s="362">
        <f t="shared" ca="1" si="67"/>
        <v>17800</v>
      </c>
    </row>
    <row r="109" spans="2:11">
      <c r="B109" s="374"/>
      <c r="C109" s="509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368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ca="1" si="64"/>
        <v>0</v>
      </c>
      <c r="I109" s="361">
        <f t="shared" ca="1" si="65"/>
        <v>0</v>
      </c>
      <c r="J109" s="361">
        <f t="shared" ca="1" si="66"/>
        <v>0</v>
      </c>
      <c r="K109" s="362">
        <f t="shared" ca="1" si="67"/>
        <v>0</v>
      </c>
    </row>
    <row r="110" spans="2:11">
      <c r="B110" s="366" t="s">
        <v>22</v>
      </c>
      <c r="C110" s="367" t="s">
        <v>1611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368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64"/>
        <v>0</v>
      </c>
      <c r="I110" s="361">
        <f t="shared" ca="1" si="65"/>
        <v>0</v>
      </c>
      <c r="J110" s="361">
        <f t="shared" ca="1" si="66"/>
        <v>0</v>
      </c>
      <c r="K110" s="362">
        <f t="shared" ca="1" si="67"/>
        <v>0</v>
      </c>
    </row>
    <row r="111" spans="2:11">
      <c r="B111" s="374"/>
      <c r="C111" s="373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368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64"/>
        <v>0</v>
      </c>
      <c r="I111" s="361">
        <f t="shared" ca="1" si="65"/>
        <v>0</v>
      </c>
      <c r="J111" s="361">
        <f t="shared" ca="1" si="66"/>
        <v>0</v>
      </c>
      <c r="K111" s="362">
        <f t="shared" ca="1" si="67"/>
        <v>0</v>
      </c>
    </row>
    <row r="112" spans="2:11">
      <c r="B112" s="375"/>
      <c r="C112" s="376" t="s">
        <v>475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368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64"/>
        <v>0</v>
      </c>
      <c r="I112" s="361">
        <f t="shared" ca="1" si="65"/>
        <v>0</v>
      </c>
      <c r="J112" s="361">
        <f t="shared" ca="1" si="66"/>
        <v>0</v>
      </c>
      <c r="K112" s="362">
        <f t="shared" ca="1" si="67"/>
        <v>0</v>
      </c>
    </row>
    <row r="113" spans="2:13">
      <c r="B113" s="378">
        <v>1</v>
      </c>
      <c r="C113" s="379" t="s">
        <v>1091</v>
      </c>
      <c r="D113" s="380" t="str">
        <f ca="1">IF(ISERROR(OFFSET('HARGA SATUAN'!$D$6,MATCH(RAB!C113,'HARGA SATUAN'!$C$7:$C$1492,0),0)),"",OFFSET('HARGA SATUAN'!$D$6,MATCH(RAB!C113,'HARGA SATUAN'!$C$7:$C$1492,0),0))</f>
        <v>JASA</v>
      </c>
      <c r="E113" s="381" t="str">
        <f ca="1">IF(ISERROR(OFFSET('HARGA SATUAN'!$E$6,MATCH(RAB!C113,'HARGA SATUAN'!$C$7:$C$1492,0),0)),"",OFFSET('HARGA SATUAN'!$E$6,MATCH(RAB!C113,'HARGA SATUAN'!$C$7:$C$1492,0),0))</f>
        <v>Lot</v>
      </c>
      <c r="F113" s="382">
        <v>1</v>
      </c>
      <c r="G113" s="383">
        <f ca="1">IF(ISERROR(OFFSET('HARGA SATUAN'!$I$6,MATCH(RAB!C113,'HARGA SATUAN'!$C$7:$C$1492,0),0)),0,OFFSET('HARGA SATUAN'!$I$6,MATCH(RAB!C113,'HARGA SATUAN'!$C$7:$C$1492,0),0))</f>
        <v>2.5000000000000001E-2</v>
      </c>
      <c r="H113" s="384"/>
      <c r="I113" s="384"/>
      <c r="J113" s="384">
        <f ca="1">SUM(K15:K21)*G113</f>
        <v>295503.33333333337</v>
      </c>
      <c r="K113" s="385">
        <f ca="1">SUM(H113:J113)</f>
        <v>295503.33333333337</v>
      </c>
    </row>
    <row r="114" spans="2:13">
      <c r="B114" s="386"/>
      <c r="C114" s="387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IF(ISERROR(OFFSET('HARGA SATUAN'!$E$6,MATCH(RAB!C114,'HARGA SATUAN'!$C$7:$C$1492,0),0)),"",OFFSET('HARGA SATUAN'!$E$6,MATCH(RAB!C114,'HARGA SATUAN'!$C$7:$C$1492,0),0))</f>
        <v/>
      </c>
      <c r="F114" s="377"/>
      <c r="G114" s="360" t="str">
        <f ca="1">IF(ISERROR(OFFSET('HARGA SATUAN'!$I$6,MATCH(RAB!C114,'HARGA SATUAN'!$C$7:$C$1492,0),0)),"",OFFSET('HARGA SATUAN'!$I$6,MATCH(RAB!C114,'HARGA SATUAN'!$C$7:$C$1492,0),0))</f>
        <v/>
      </c>
      <c r="H114" s="361">
        <f ca="1">IF(OR(D114="MDU",D114="MDU-KD"),IF(G114="PLN",0,G114*F114),0)</f>
        <v>0</v>
      </c>
      <c r="I114" s="361">
        <f ca="1">IF(D114="HDW",IF(G114="PLN",0,G114*F114),0)</f>
        <v>0</v>
      </c>
      <c r="J114" s="361">
        <f ca="1">IF(D114="JASA",IF(G114="PLN",0,G114*F114),0)</f>
        <v>0</v>
      </c>
      <c r="K114" s="362">
        <f ca="1">SUM(H114:J114)</f>
        <v>0</v>
      </c>
    </row>
    <row r="115" spans="2:13" ht="15.75" thickBot="1">
      <c r="B115" s="388"/>
      <c r="C115" s="389"/>
      <c r="D115" s="390"/>
      <c r="E115" s="391"/>
      <c r="F115" s="391"/>
      <c r="G115" s="391"/>
      <c r="H115" s="392"/>
      <c r="I115" s="392"/>
      <c r="J115" s="392"/>
      <c r="K115" s="393"/>
    </row>
    <row r="116" spans="2:13">
      <c r="B116" s="394"/>
      <c r="C116" s="646" t="s">
        <v>1008</v>
      </c>
      <c r="D116" s="646"/>
      <c r="E116" s="646"/>
      <c r="F116" s="646"/>
      <c r="G116" s="395" t="s">
        <v>9</v>
      </c>
      <c r="H116" s="396">
        <f ca="1">SUM(H14:H114)</f>
        <v>46159200</v>
      </c>
      <c r="I116" s="396">
        <f ca="1">SUM(I14:I114)</f>
        <v>16184118.24</v>
      </c>
      <c r="J116" s="396">
        <f ca="1">SUM(J14:J114)</f>
        <v>1869236.666666667</v>
      </c>
      <c r="K116" s="396">
        <f ca="1">SUM(K14:K114)</f>
        <v>64212554.906666674</v>
      </c>
    </row>
    <row r="117" spans="2:13">
      <c r="B117" s="398"/>
      <c r="C117" s="629" t="s">
        <v>1457</v>
      </c>
      <c r="D117" s="629"/>
      <c r="E117" s="629"/>
      <c r="F117" s="629"/>
      <c r="G117" s="399" t="s">
        <v>9</v>
      </c>
      <c r="H117" s="400">
        <f ca="1">H116*0.11</f>
        <v>5077512</v>
      </c>
      <c r="I117" s="400">
        <f ca="1">I116*0.11</f>
        <v>1780253.0064000001</v>
      </c>
      <c r="J117" s="400">
        <f ca="1">J116*0.11</f>
        <v>205616.03333333335</v>
      </c>
      <c r="K117" s="400">
        <f ca="1">K116*0.11</f>
        <v>7063381.0397333344</v>
      </c>
    </row>
    <row r="118" spans="2:13" ht="15.75" thickBot="1">
      <c r="B118" s="398"/>
      <c r="C118" s="627" t="s">
        <v>463</v>
      </c>
      <c r="D118" s="627"/>
      <c r="E118" s="627"/>
      <c r="F118" s="627"/>
      <c r="G118" s="401" t="s">
        <v>9</v>
      </c>
      <c r="H118" s="402">
        <f ca="1">SUM(H116:H117)</f>
        <v>51236712</v>
      </c>
      <c r="I118" s="402">
        <f ca="1">SUM(I116:I117)</f>
        <v>17964371.246399999</v>
      </c>
      <c r="J118" s="401">
        <f ca="1">SUM(J116:J117)</f>
        <v>2074852.7000000004</v>
      </c>
      <c r="K118" s="401">
        <f ca="1">SUM(K116:K117)</f>
        <v>71275935.946400002</v>
      </c>
      <c r="M118" s="484"/>
    </row>
    <row r="119" spans="2:13">
      <c r="B119" s="630" t="str">
        <f ca="1">"Terbilang : "&amp;PROPER(IF(K118=0,"nol",IF(K118&lt;0,"minus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IF(--MID(TEXT(ABS(K118),"000000000000000"),1,3)=0,"",MID(TEXT(ABS(K118),"000000000000000"),1,1)&amp;" ratus "&amp;MID(TEXT(ABS(K118),"000000000000000"),2,1)&amp;" puluh "&amp;MID(TEXT(ABS(K118),"000000000000000"),3,1)&amp;" trilyun ")&amp; IF(--MID(TEXT(ABS(K118),"000000000000000"),4,3)=0,"",MID(TEXT(ABS(K118),"000000000000000"),4,1)&amp;" ratus "&amp;MID(TEXT(ABS(K118),"000000000000000"),5,1)&amp;" puluh "&amp;MID(TEXT(ABS(K118),"000000000000000"),6,1)&amp;" milyar ")&amp; IF(--MID(TEXT(ABS(K118),"000000000000000"),7,3)=0,"",MID(TEXT(ABS(K118),"000000000000000"),7,1)&amp;" ratus "&amp;MID(TEXT(ABS(K118),"000000000000000"),8,1)&amp;" puluh "&amp;MID(TEXT(ABS(K118),"000000000000000"),9,1)&amp;" juta ")&amp; IF(--MID(TEXT(ABS(K118),"000000000000000"),10,3)=0,"",IF(--MID(TEXT(ABS(K118),"000000000000000"),10,3)=1,"*",MID(TEXT(ABS(K118),"000000000000000"),10,1)&amp;" ratus "&amp;MID(TEXT(ABS(K118),"000000000000000"),11,1)&amp;" puluh ")&amp;MID(TEXT(ABS(K118),"000000000000000"),12,1)&amp;" ribu ")&amp; IF(--MID(TEXT(ABS(K118),"000000000000000"),13,3)=0,"",MID(TEXT(ABS(K118),"000000000000000"),13,1)&amp;" ratus "&amp;MID(TEXT(ABS(K118),"000000000000000"),14,1)&amp;" puluh "&amp;MID(TEXT(ABS(K118),"000000000000000"),15,1)),1,"satu"),2,"dua"),3,"tiga"),4,"empat"),5,"lima"),6,"enam"),7,"tujuh"),8,"delapan"),9,"sembilan"),"0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Dua Ratus Tujuh Puluh Lima Ribu Sembilan Ratus Tiga Puluh Enam Rupiah</v>
      </c>
      <c r="C119" s="631"/>
      <c r="D119" s="631"/>
      <c r="E119" s="631"/>
      <c r="F119" s="631"/>
      <c r="G119" s="631"/>
      <c r="H119" s="631"/>
      <c r="I119" s="631"/>
      <c r="J119" s="631"/>
      <c r="K119" s="632"/>
    </row>
    <row r="120" spans="2:13">
      <c r="B120" s="633"/>
      <c r="C120" s="634"/>
      <c r="D120" s="634"/>
      <c r="E120" s="634"/>
      <c r="F120" s="634"/>
      <c r="G120" s="634"/>
      <c r="H120" s="634"/>
      <c r="I120" s="634"/>
      <c r="J120" s="634"/>
      <c r="K120" s="635"/>
    </row>
    <row r="121" spans="2:13" ht="15.75" thickBot="1">
      <c r="B121" s="403" t="str">
        <f>"Harga yang dipakai adalah "&amp;'HARGA SATUAN'!I5&amp;""</f>
        <v>Harga yang dipakai adalah RAB HSS 2023</v>
      </c>
      <c r="C121" s="404"/>
      <c r="D121" s="405"/>
      <c r="E121" s="405"/>
      <c r="F121" s="405"/>
      <c r="G121" s="406"/>
      <c r="H121" s="406"/>
      <c r="I121" s="406"/>
      <c r="J121" s="406"/>
      <c r="K121" s="407"/>
    </row>
    <row r="122" spans="2:13">
      <c r="C122" s="408"/>
      <c r="E122" s="410"/>
      <c r="F122" s="410"/>
      <c r="G122" s="410"/>
    </row>
    <row r="123" spans="2:13">
      <c r="C123" s="337"/>
      <c r="E123" s="410"/>
      <c r="F123" s="410"/>
      <c r="G123" s="410"/>
      <c r="H123" s="636"/>
      <c r="I123" s="636"/>
      <c r="J123" s="637"/>
      <c r="K123" s="637"/>
    </row>
    <row r="124" spans="2:13">
      <c r="C124" s="337"/>
      <c r="E124" s="410"/>
      <c r="F124" s="410"/>
      <c r="G124" s="410"/>
      <c r="H124" s="411"/>
      <c r="I124" s="626" t="s">
        <v>1641</v>
      </c>
      <c r="J124" s="626"/>
      <c r="K124" s="626"/>
    </row>
    <row r="125" spans="2:13">
      <c r="C125" s="337"/>
      <c r="E125" s="410"/>
      <c r="F125" s="410"/>
      <c r="G125" s="410"/>
      <c r="H125" s="411"/>
      <c r="I125" s="626" t="s">
        <v>1642</v>
      </c>
      <c r="J125" s="626"/>
      <c r="K125" s="626"/>
    </row>
    <row r="126" spans="2:13">
      <c r="C126" s="337"/>
      <c r="E126" s="410"/>
      <c r="F126" s="410"/>
      <c r="G126" s="410"/>
      <c r="H126" s="412"/>
      <c r="I126" s="413"/>
      <c r="J126" s="413"/>
      <c r="K126" s="413"/>
    </row>
    <row r="127" spans="2:13">
      <c r="C127" s="337"/>
      <c r="E127" s="410"/>
      <c r="F127" s="410"/>
      <c r="G127" s="410"/>
      <c r="H127" s="412"/>
      <c r="I127" s="412"/>
      <c r="J127" s="412"/>
      <c r="K127" s="412"/>
    </row>
    <row r="128" spans="2:13">
      <c r="C128" s="337"/>
      <c r="E128" s="410"/>
      <c r="F128" s="410"/>
      <c r="G128" s="410"/>
      <c r="H128" s="412"/>
      <c r="I128" s="412"/>
      <c r="J128" s="412"/>
      <c r="K128" s="412"/>
    </row>
    <row r="129" spans="3:11">
      <c r="C129" s="337"/>
      <c r="E129" s="410"/>
      <c r="F129" s="410"/>
      <c r="G129" s="410"/>
      <c r="H129" s="412"/>
      <c r="I129" s="412"/>
      <c r="J129" s="412"/>
      <c r="K129" s="412"/>
    </row>
    <row r="130" spans="3:11">
      <c r="C130" s="337"/>
      <c r="E130" s="410"/>
      <c r="F130" s="410"/>
      <c r="G130" s="410"/>
      <c r="H130" s="414"/>
      <c r="I130" s="626" t="s">
        <v>1643</v>
      </c>
      <c r="J130" s="626"/>
      <c r="K130" s="626"/>
    </row>
    <row r="131" spans="3:11">
      <c r="C131" s="408"/>
      <c r="E131" s="410"/>
      <c r="F131" s="410"/>
      <c r="G131" s="410"/>
      <c r="H131" s="412"/>
      <c r="I131" s="412"/>
      <c r="J131" s="412"/>
      <c r="K131" s="412"/>
    </row>
    <row r="132" spans="3:11">
      <c r="C132" s="408"/>
      <c r="E132" s="410"/>
      <c r="F132" s="410"/>
      <c r="G132" s="410"/>
      <c r="H132" s="412"/>
      <c r="I132" s="412"/>
      <c r="J132" s="412"/>
      <c r="K132" s="412"/>
    </row>
    <row r="133" spans="3:11">
      <c r="C133" s="408"/>
      <c r="E133" s="410"/>
      <c r="F133" s="410"/>
      <c r="G133" s="410"/>
      <c r="H133" s="412"/>
      <c r="I133" s="412"/>
      <c r="J133" s="412"/>
      <c r="K133" s="412"/>
    </row>
  </sheetData>
  <sheetProtection sort="0" autoFilter="0"/>
  <protectedRanges>
    <protectedRange sqref="B111 B94:B109" name="Range1_1"/>
    <protectedRange sqref="F93:F112 F58:F60 F67 F14:F56" name="Range1_1_2_2"/>
    <protectedRange sqref="C111 C94:C95 C99:C109 C97" name="Range1_1_1"/>
    <protectedRange sqref="B81 B70:C71 B76 B92:C93 B72 B69 B60:C60 B73:C75 B77:C80 B67:C68" name="Range1_6_2"/>
    <protectedRange sqref="C81" name="Range1_1_3_2"/>
    <protectedRange sqref="C76" name="Range1_1_3_3"/>
    <protectedRange sqref="C72" name="Range1_1_3_10"/>
    <protectedRange sqref="C98" name="Range1_1_3_13"/>
    <protectedRange sqref="C17" name="Range1_1_3_14"/>
    <protectedRange sqref="C18:C20" name="Range1_1_3"/>
    <protectedRange sqref="C69" name="Range1_1_3_1"/>
    <protectedRange sqref="G57" name="Range1_3_7"/>
    <protectedRange sqref="C57" name="Range1_1_3_5"/>
    <protectedRange sqref="C56" name="Range1_1_3_6"/>
    <protectedRange sqref="C96" name="Range1_1_3_4"/>
    <protectedRange sqref="C24" name="Range1_1_3_7"/>
  </protectedRanges>
  <mergeCells count="22">
    <mergeCell ref="O3:P4"/>
    <mergeCell ref="B4:K4"/>
    <mergeCell ref="C116:F116"/>
    <mergeCell ref="B11:B13"/>
    <mergeCell ref="C11:C13"/>
    <mergeCell ref="D11:D13"/>
    <mergeCell ref="E11:E13"/>
    <mergeCell ref="F11:F13"/>
    <mergeCell ref="G11:G13"/>
    <mergeCell ref="I12:I13"/>
    <mergeCell ref="I125:K125"/>
    <mergeCell ref="I130:K130"/>
    <mergeCell ref="C118:F118"/>
    <mergeCell ref="G6:K6"/>
    <mergeCell ref="I124:K124"/>
    <mergeCell ref="C117:F117"/>
    <mergeCell ref="B119:K120"/>
    <mergeCell ref="H123:K123"/>
    <mergeCell ref="H11:K11"/>
    <mergeCell ref="H12:H13"/>
    <mergeCell ref="J12:J13"/>
    <mergeCell ref="K12:K13"/>
  </mergeCells>
  <phoneticPr fontId="139" type="noConversion"/>
  <conditionalFormatting sqref="C15 C17:C21 C81">
    <cfRule type="cellIs" dxfId="14" priority="498" operator="equal">
      <formula>0</formula>
    </cfRule>
  </conditionalFormatting>
  <conditionalFormatting sqref="C56:C57">
    <cfRule type="cellIs" dxfId="13" priority="16" operator="equal">
      <formula>0</formula>
    </cfRule>
  </conditionalFormatting>
  <conditionalFormatting sqref="C59">
    <cfRule type="cellIs" dxfId="12" priority="123" operator="equal">
      <formula>0</formula>
    </cfRule>
  </conditionalFormatting>
  <conditionalFormatting sqref="C63">
    <cfRule type="cellIs" dxfId="11" priority="7" operator="equal">
      <formula>0</formula>
    </cfRule>
  </conditionalFormatting>
  <conditionalFormatting sqref="C65">
    <cfRule type="cellIs" dxfId="10" priority="8" operator="equal">
      <formula>0</formula>
    </cfRule>
  </conditionalFormatting>
  <conditionalFormatting sqref="C96">
    <cfRule type="cellIs" dxfId="9" priority="3" operator="equal">
      <formula>0</formula>
    </cfRule>
  </conditionalFormatting>
  <conditionalFormatting sqref="C107">
    <cfRule type="cellIs" dxfId="8" priority="14" operator="equal">
      <formula>0</formula>
    </cfRule>
  </conditionalFormatting>
  <conditionalFormatting sqref="C110">
    <cfRule type="cellIs" dxfId="7" priority="121" operator="equal">
      <formula>0</formula>
    </cfRule>
  </conditionalFormatting>
  <conditionalFormatting sqref="D57:G57">
    <cfRule type="cellIs" dxfId="6" priority="24" operator="equal">
      <formula>0</formula>
    </cfRule>
  </conditionalFormatting>
  <conditionalFormatting sqref="E1:E3 G1:G13 E5:E13 H12:I12 O13 S14:V21 H57:K57 E58:K67 E68:E80 G68:K80 E113:G113 H113:K115 E114:H114 E115:F115 E14:K22 E23:E32 G23:K32 E33:K56">
    <cfRule type="cellIs" dxfId="5" priority="1078" stopIfTrue="1" operator="equal">
      <formula>0</formula>
    </cfRule>
  </conditionalFormatting>
  <conditionalFormatting sqref="E81:K112">
    <cfRule type="cellIs" dxfId="4" priority="11" stopIfTrue="1" operator="equal">
      <formula>0</formula>
    </cfRule>
  </conditionalFormatting>
  <conditionalFormatting sqref="F69:F80">
    <cfRule type="cellIs" dxfId="3" priority="15" stopIfTrue="1" operator="equal">
      <formula>0</formula>
    </cfRule>
  </conditionalFormatting>
  <conditionalFormatting sqref="G114:G65580 E119:E65580">
    <cfRule type="cellIs" dxfId="2" priority="212" stopIfTrue="1" operator="equal">
      <formula>0</formula>
    </cfRule>
  </conditionalFormatting>
  <conditionalFormatting sqref="F23:F32">
    <cfRule type="cellIs" dxfId="1" priority="2" stopIfTrue="1" operator="equal">
      <formula>0</formula>
    </cfRule>
  </conditionalFormatting>
  <conditionalFormatting sqref="C24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C70:C72 C77:C80 F69:F92 F34:F56 F58:F67 F26:F31 H14:K11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7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" zoomScale="85" zoomScaleNormal="115" zoomScaleSheetLayoutView="8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9" t="s">
        <v>1439</v>
      </c>
      <c r="X2" s="710"/>
      <c r="Y2" s="710"/>
      <c r="Z2" s="710"/>
      <c r="AA2" s="710"/>
      <c r="AB2" s="710"/>
      <c r="AC2" s="710"/>
      <c r="AD2" s="711"/>
    </row>
    <row r="3" spans="3:30">
      <c r="C3" s="238"/>
      <c r="W3" s="712"/>
      <c r="X3" s="713"/>
      <c r="Y3" s="713"/>
      <c r="Z3" s="713"/>
      <c r="AA3" s="713"/>
      <c r="AB3" s="713"/>
      <c r="AC3" s="713"/>
      <c r="AD3" s="71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238"/>
      <c r="W6" s="241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238"/>
      <c r="E7" s="490" t="str">
        <f>PETA!C6</f>
        <v>KOORDINAT : -6.834223, 110.629748</v>
      </c>
      <c r="W7" s="241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238"/>
      <c r="W8" s="241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238"/>
      <c r="W9" s="241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238"/>
      <c r="W10" s="241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238"/>
      <c r="W11" s="241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238"/>
      <c r="W12" s="241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238"/>
      <c r="W13" s="241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238"/>
      <c r="W14" s="241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238"/>
      <c r="W15" s="241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238"/>
      <c r="W16" s="241">
        <v>11</v>
      </c>
      <c r="X16" s="658" t="s">
        <v>1455</v>
      </c>
      <c r="Y16" s="658"/>
      <c r="Z16" s="658"/>
      <c r="AA16" s="658"/>
      <c r="AB16" s="658"/>
      <c r="AC16" s="658"/>
      <c r="AD16" s="659"/>
    </row>
    <row r="17" spans="3:30">
      <c r="C17" s="238"/>
      <c r="S17" s="242"/>
      <c r="W17" s="241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243"/>
      <c r="D18" s="244"/>
      <c r="E18" s="244"/>
      <c r="W18" s="241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238"/>
      <c r="W19" s="245"/>
      <c r="X19" s="707"/>
      <c r="Y19" s="707"/>
      <c r="Z19" s="707"/>
      <c r="AA19" s="707"/>
      <c r="AB19" s="707"/>
      <c r="AC19" s="707"/>
      <c r="AD19" s="708"/>
    </row>
    <row r="20" spans="3:30">
      <c r="C20" s="238"/>
      <c r="W20" s="694" t="s">
        <v>992</v>
      </c>
      <c r="X20" s="695"/>
      <c r="Y20" s="695"/>
      <c r="Z20" s="695"/>
      <c r="AA20" s="695"/>
      <c r="AB20" s="695"/>
      <c r="AC20" s="695"/>
      <c r="AD20" s="696"/>
    </row>
    <row r="21" spans="3:30">
      <c r="C21" s="238"/>
      <c r="W21" s="697" t="s">
        <v>985</v>
      </c>
      <c r="X21" s="698"/>
      <c r="Y21" s="698"/>
      <c r="Z21" s="699"/>
      <c r="AA21" s="700" t="s">
        <v>986</v>
      </c>
      <c r="AB21" s="701"/>
      <c r="AC21" s="701"/>
      <c r="AD21" s="702"/>
    </row>
    <row r="22" spans="3:30">
      <c r="C22" s="238"/>
      <c r="W22" s="703" t="s">
        <v>1627</v>
      </c>
      <c r="X22" s="704"/>
      <c r="Y22" s="492">
        <v>1</v>
      </c>
      <c r="Z22" s="493"/>
      <c r="AA22" s="705"/>
      <c r="AB22" s="706"/>
      <c r="AC22" s="248"/>
      <c r="AD22" s="249"/>
    </row>
    <row r="23" spans="3:30">
      <c r="C23" s="238"/>
      <c r="W23" s="703" t="s">
        <v>1628</v>
      </c>
      <c r="X23" s="704"/>
      <c r="Y23" s="492">
        <v>1</v>
      </c>
      <c r="Z23" s="493"/>
      <c r="AA23" s="692"/>
      <c r="AB23" s="693"/>
      <c r="AC23" s="248"/>
      <c r="AD23" s="249"/>
    </row>
    <row r="24" spans="3:30">
      <c r="C24" s="238"/>
      <c r="W24" s="687" t="s">
        <v>1629</v>
      </c>
      <c r="X24" s="689"/>
      <c r="Y24" s="246">
        <v>1</v>
      </c>
      <c r="Z24" s="247"/>
      <c r="AA24" s="690"/>
      <c r="AB24" s="691"/>
      <c r="AC24" s="248"/>
      <c r="AD24" s="249"/>
    </row>
    <row r="25" spans="3:30">
      <c r="C25" s="238"/>
      <c r="W25" s="687" t="s">
        <v>1613</v>
      </c>
      <c r="X25" s="689"/>
      <c r="Y25" s="246">
        <v>2</v>
      </c>
      <c r="Z25" s="247"/>
      <c r="AA25" s="692"/>
      <c r="AB25" s="693"/>
      <c r="AC25" s="248"/>
      <c r="AD25" s="249"/>
    </row>
    <row r="26" spans="3:30">
      <c r="C26" s="238"/>
      <c r="W26" s="480" t="s">
        <v>1625</v>
      </c>
      <c r="X26" s="481"/>
      <c r="Y26" s="246">
        <v>4</v>
      </c>
      <c r="Z26" s="247"/>
      <c r="AA26" s="692"/>
      <c r="AB26" s="693"/>
      <c r="AC26" s="248"/>
      <c r="AD26" s="249"/>
    </row>
    <row r="27" spans="3:30">
      <c r="C27" s="238"/>
      <c r="W27" s="480" t="s">
        <v>1616</v>
      </c>
      <c r="X27" s="481"/>
      <c r="Y27" s="246">
        <v>8</v>
      </c>
      <c r="Z27" s="247"/>
      <c r="AA27" s="686"/>
      <c r="AB27" s="681"/>
      <c r="AC27" s="248"/>
      <c r="AD27" s="249"/>
    </row>
    <row r="28" spans="3:30">
      <c r="C28" s="238"/>
      <c r="W28" s="480"/>
      <c r="X28" s="481"/>
      <c r="Y28" s="246"/>
      <c r="Z28" s="247"/>
      <c r="AA28" s="686"/>
      <c r="AB28" s="681"/>
      <c r="AC28" s="248"/>
      <c r="AD28" s="249"/>
    </row>
    <row r="29" spans="3:30">
      <c r="C29" s="238"/>
      <c r="W29" s="480"/>
      <c r="X29" s="481"/>
      <c r="Y29" s="246"/>
      <c r="Z29" s="247"/>
      <c r="AA29" s="686"/>
      <c r="AB29" s="681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6"/>
      <c r="AB30" s="681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6"/>
      <c r="AB31" s="681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6"/>
      <c r="AB32" s="681"/>
      <c r="AC32" s="248"/>
      <c r="AD32" s="249"/>
    </row>
    <row r="33" spans="3:30">
      <c r="C33" s="238"/>
      <c r="W33" s="480"/>
      <c r="X33" s="481"/>
      <c r="Y33" s="246"/>
      <c r="Z33" s="247"/>
      <c r="AA33" s="686"/>
      <c r="AB33" s="681"/>
      <c r="AC33" s="248"/>
      <c r="AD33" s="249"/>
    </row>
    <row r="34" spans="3:30">
      <c r="C34" s="238"/>
      <c r="W34" s="480"/>
      <c r="X34" s="481"/>
      <c r="Y34" s="246"/>
      <c r="Z34" s="247"/>
      <c r="AA34" s="686"/>
      <c r="AB34" s="681"/>
      <c r="AC34" s="248"/>
      <c r="AD34" s="249"/>
    </row>
    <row r="35" spans="3:30">
      <c r="C35" s="238"/>
      <c r="W35" s="687"/>
      <c r="X35" s="688"/>
      <c r="Y35" s="246"/>
      <c r="Z35" s="247"/>
      <c r="AA35" s="686"/>
      <c r="AB35" s="681"/>
      <c r="AC35" s="248"/>
      <c r="AD35" s="249"/>
    </row>
    <row r="36" spans="3:30">
      <c r="C36" s="238"/>
      <c r="W36" s="678"/>
      <c r="X36" s="679"/>
      <c r="Y36" s="246"/>
      <c r="Z36" s="251"/>
      <c r="AA36" s="680"/>
      <c r="AB36" s="681"/>
      <c r="AC36" s="248"/>
      <c r="AD36" s="249"/>
    </row>
    <row r="37" spans="3:30" ht="12.75" customHeight="1">
      <c r="C37" s="238"/>
      <c r="W37" s="682"/>
      <c r="X37" s="683"/>
      <c r="Y37" s="246"/>
      <c r="Z37" s="251"/>
      <c r="AA37" s="684"/>
      <c r="AB37" s="685"/>
      <c r="AC37" s="252"/>
      <c r="AD37" s="253"/>
    </row>
    <row r="38" spans="3:30" ht="12.75" customHeight="1">
      <c r="C38" s="238"/>
      <c r="D38" s="235" t="s">
        <v>1630</v>
      </c>
      <c r="W38" s="682"/>
      <c r="X38" s="683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21" t="s">
        <v>1631</v>
      </c>
      <c r="W39" s="682"/>
      <c r="X39" s="683"/>
      <c r="Y39" s="254"/>
      <c r="Z39" s="257"/>
      <c r="AA39" s="674"/>
      <c r="AB39" s="675"/>
      <c r="AC39" s="252"/>
      <c r="AD39" s="253"/>
    </row>
    <row r="40" spans="3:30" ht="12" customHeight="1">
      <c r="C40" s="238"/>
      <c r="D40" s="521" t="s">
        <v>1632</v>
      </c>
      <c r="W40" s="670"/>
      <c r="X40" s="671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21" t="s">
        <v>1633</v>
      </c>
      <c r="W41" s="672"/>
      <c r="X41" s="673"/>
      <c r="Y41" s="260"/>
      <c r="Z41" s="261"/>
      <c r="AA41" s="674"/>
      <c r="AB41" s="675"/>
      <c r="AC41" s="252"/>
      <c r="AD41" s="253"/>
    </row>
    <row r="42" spans="3:30" ht="12" customHeight="1">
      <c r="C42" s="238"/>
      <c r="D42" s="521" t="s">
        <v>1634</v>
      </c>
      <c r="W42" s="676" t="s">
        <v>1456</v>
      </c>
      <c r="X42" s="677"/>
      <c r="Y42" s="677"/>
      <c r="Z42" s="677"/>
      <c r="AA42" s="262"/>
      <c r="AB42" s="262"/>
      <c r="AC42" s="262"/>
      <c r="AD42" s="263"/>
    </row>
    <row r="43" spans="3:30" ht="12" customHeight="1">
      <c r="C43" s="238"/>
      <c r="D43" s="521" t="s">
        <v>1635</v>
      </c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21" t="s">
        <v>1636</v>
      </c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5" t="s">
        <v>11</v>
      </c>
      <c r="X44" s="656"/>
      <c r="Y44" s="658"/>
      <c r="Z44" s="658"/>
      <c r="AA44" s="658"/>
      <c r="AB44" s="658"/>
      <c r="AC44" s="658"/>
      <c r="AD44" s="659"/>
    </row>
    <row r="45" spans="3:30">
      <c r="C45" s="268"/>
      <c r="D45" s="521" t="s">
        <v>1637</v>
      </c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5" t="s">
        <v>984</v>
      </c>
      <c r="X45" s="656"/>
      <c r="Y45" s="658">
        <v>1</v>
      </c>
      <c r="Z45" s="658"/>
      <c r="AA45" s="658"/>
      <c r="AB45" s="658" t="s">
        <v>12</v>
      </c>
      <c r="AC45" s="65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5" t="s">
        <v>15</v>
      </c>
      <c r="X46" s="656"/>
      <c r="Y46" s="669"/>
      <c r="Z46" s="669"/>
      <c r="AA46" s="669"/>
      <c r="AB46" s="658" t="s">
        <v>16</v>
      </c>
      <c r="AC46" s="65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3" t="s">
        <v>17</v>
      </c>
      <c r="X47" s="663"/>
      <c r="Y47" s="663"/>
      <c r="Z47" s="663"/>
      <c r="AA47" s="663"/>
      <c r="AB47" s="663"/>
      <c r="AC47" s="663"/>
      <c r="AD47" s="66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5" t="str">
        <f>RAB!G6</f>
        <v xml:space="preserve">
IOH_14DMK0147WEDING_BONANG</v>
      </c>
      <c r="X48" s="665"/>
      <c r="Y48" s="665"/>
      <c r="Z48" s="665"/>
      <c r="AA48" s="665"/>
      <c r="AB48" s="665"/>
      <c r="AC48" s="665"/>
      <c r="AD48" s="66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5"/>
      <c r="X49" s="665"/>
      <c r="Y49" s="665"/>
      <c r="Z49" s="665"/>
      <c r="AA49" s="665"/>
      <c r="AB49" s="665"/>
      <c r="AC49" s="665"/>
      <c r="AD49" s="66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5"/>
      <c r="X50" s="665"/>
      <c r="Y50" s="665"/>
      <c r="Z50" s="665"/>
      <c r="AA50" s="665"/>
      <c r="AB50" s="665"/>
      <c r="AC50" s="665"/>
      <c r="AD50" s="66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7"/>
      <c r="X51" s="667"/>
      <c r="Y51" s="667"/>
      <c r="Z51" s="667"/>
      <c r="AA51" s="667"/>
      <c r="AB51" s="667"/>
      <c r="AC51" s="667"/>
      <c r="AD51" s="66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5" t="s">
        <v>18</v>
      </c>
      <c r="X52" s="656"/>
      <c r="Y52" s="658" t="s">
        <v>1644</v>
      </c>
      <c r="Z52" s="658"/>
      <c r="AA52" s="658"/>
      <c r="AB52" s="658"/>
      <c r="AC52" s="658"/>
      <c r="AD52" s="65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5" t="s">
        <v>19</v>
      </c>
      <c r="X53" s="656"/>
      <c r="Y53" s="658" t="s">
        <v>1645</v>
      </c>
      <c r="Z53" s="658"/>
      <c r="AA53" s="658"/>
      <c r="AB53" s="658"/>
      <c r="AC53" s="658"/>
      <c r="AD53" s="65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5" t="s">
        <v>20</v>
      </c>
      <c r="X54" s="656"/>
      <c r="Y54" s="657" t="s">
        <v>1646</v>
      </c>
      <c r="Z54" s="657"/>
      <c r="AA54" s="657"/>
      <c r="AB54" s="658"/>
      <c r="AC54" s="658"/>
      <c r="AD54" s="65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60" t="s">
        <v>21</v>
      </c>
      <c r="X55" s="661"/>
      <c r="Y55" s="657" t="s">
        <v>1647</v>
      </c>
      <c r="Z55" s="657"/>
      <c r="AA55" s="657"/>
      <c r="AB55" s="657"/>
      <c r="AC55" s="657"/>
      <c r="AD55" s="662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5" t="s">
        <v>1528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17"/>
      <c r="AE4" s="216"/>
      <c r="AF4" s="216"/>
    </row>
    <row r="5" spans="2:32" ht="13.5" customHeight="1">
      <c r="B5" s="215"/>
      <c r="C5" s="215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17"/>
      <c r="AE5" s="216"/>
      <c r="AF5" s="216"/>
    </row>
    <row r="6" spans="2:32" ht="12.75" customHeight="1">
      <c r="B6" s="215"/>
      <c r="C6" s="215"/>
      <c r="D6" s="718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20"/>
      <c r="AE6" s="216"/>
      <c r="AF6" s="216"/>
    </row>
    <row r="7" spans="2:32" ht="12.75" customHeight="1" thickBot="1">
      <c r="B7" s="215"/>
      <c r="C7" s="215"/>
      <c r="D7" s="721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722"/>
      <c r="S7" s="722"/>
      <c r="T7" s="722"/>
      <c r="U7" s="722"/>
      <c r="V7" s="722"/>
      <c r="W7" s="722"/>
      <c r="X7" s="722"/>
      <c r="Y7" s="722"/>
      <c r="Z7" s="722"/>
      <c r="AA7" s="722"/>
      <c r="AB7" s="722"/>
      <c r="AC7" s="72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9" t="s">
        <v>1527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9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4" t="s">
        <v>1626</v>
      </c>
      <c r="D6" s="724"/>
      <c r="E6" s="724"/>
      <c r="F6" s="724"/>
      <c r="G6" s="724"/>
      <c r="H6" s="724"/>
      <c r="I6" s="724"/>
      <c r="J6" s="724"/>
      <c r="K6" s="724"/>
      <c r="L6" s="724"/>
      <c r="M6" s="724"/>
      <c r="W6" s="182"/>
      <c r="Y6" s="428"/>
      <c r="Z6" s="428"/>
      <c r="AA6" s="428"/>
      <c r="AB6" s="429"/>
      <c r="AC6" s="429"/>
    </row>
    <row r="7" spans="1:29" ht="18" customHeight="1">
      <c r="A7" s="181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2024-02-21T13:07:46Z</dcterms:modified>
</cp:coreProperties>
</file>