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OKT\KLINIK MUTIARA\"/>
    </mc:Choice>
  </mc:AlternateContent>
  <xr:revisionPtr revIDLastSave="0" documentId="13_ncr:1_{43C3C022-BCA2-463C-A276-CC93A531B98F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34" i="11"/>
  <c r="F33" i="11"/>
  <c r="F32" i="11"/>
  <c r="F31" i="11"/>
  <c r="F30" i="11"/>
  <c r="H19" i="11" l="1"/>
  <c r="K19" i="11" s="1"/>
  <c r="I19" i="11"/>
  <c r="J19" i="11"/>
  <c r="D18" i="11"/>
  <c r="H18" i="11" s="1"/>
  <c r="E18" i="11"/>
  <c r="G18" i="11"/>
  <c r="D50" i="11"/>
  <c r="J50" i="11" s="1"/>
  <c r="E50" i="11"/>
  <c r="G50" i="11"/>
  <c r="J18" i="11" l="1"/>
  <c r="I18" i="11"/>
  <c r="K18" i="11" s="1"/>
  <c r="H50" i="11"/>
  <c r="I50" i="11"/>
  <c r="K50" i="11" l="1"/>
  <c r="D49" i="11" l="1"/>
  <c r="H49" i="11" s="1"/>
  <c r="E49" i="11"/>
  <c r="G49" i="11"/>
  <c r="D51" i="11"/>
  <c r="H51" i="11" s="1"/>
  <c r="E51" i="11"/>
  <c r="G51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16" i="11"/>
  <c r="J16" i="11" s="1"/>
  <c r="E16" i="11"/>
  <c r="G16" i="11"/>
  <c r="D17" i="11"/>
  <c r="H17" i="11" s="1"/>
  <c r="E17" i="11"/>
  <c r="G17" i="11"/>
  <c r="F56" i="11"/>
  <c r="F54" i="11"/>
  <c r="F53" i="11"/>
  <c r="J51" i="11" l="1"/>
  <c r="J49" i="11"/>
  <c r="I49" i="11"/>
  <c r="I51" i="11"/>
  <c r="I21" i="11"/>
  <c r="J21" i="11"/>
  <c r="I20" i="11"/>
  <c r="H20" i="11"/>
  <c r="I22" i="11"/>
  <c r="J22" i="11"/>
  <c r="H16" i="11"/>
  <c r="I16" i="11"/>
  <c r="J17" i="11"/>
  <c r="I17" i="11"/>
  <c r="K51" i="11" l="1"/>
  <c r="K49" i="11"/>
  <c r="K17" i="11"/>
  <c r="K21" i="11"/>
  <c r="K16" i="11"/>
  <c r="K20" i="11"/>
  <c r="K22" i="11"/>
  <c r="K13" i="60" l="1"/>
  <c r="K12" i="60"/>
  <c r="D53" i="11"/>
  <c r="D54" i="11"/>
  <c r="D55" i="11"/>
  <c r="D56" i="11"/>
  <c r="D44" i="11"/>
  <c r="D45" i="11"/>
  <c r="D46" i="11"/>
  <c r="D48" i="11"/>
  <c r="J48" i="11" s="1"/>
  <c r="E48" i="11"/>
  <c r="G48" i="11"/>
  <c r="E7" i="64"/>
  <c r="F46" i="11"/>
  <c r="F27" i="11"/>
  <c r="F26" i="11"/>
  <c r="F25" i="11"/>
  <c r="F24" i="11"/>
  <c r="F23" i="11"/>
  <c r="D23" i="11"/>
  <c r="E23" i="11"/>
  <c r="G23" i="11"/>
  <c r="D24" i="11"/>
  <c r="H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I27" i="11" s="1"/>
  <c r="E27" i="11"/>
  <c r="G27" i="11"/>
  <c r="D28" i="11"/>
  <c r="J28" i="11" s="1"/>
  <c r="E28" i="11"/>
  <c r="G28" i="11"/>
  <c r="J23" i="11" l="1"/>
  <c r="I48" i="11"/>
  <c r="H48" i="11"/>
  <c r="I28" i="11"/>
  <c r="I24" i="11"/>
  <c r="I25" i="11"/>
  <c r="I26" i="11"/>
  <c r="H25" i="11"/>
  <c r="J24" i="11"/>
  <c r="H28" i="11"/>
  <c r="H26" i="11"/>
  <c r="J27" i="11"/>
  <c r="I23" i="11"/>
  <c r="H27" i="11"/>
  <c r="H23" i="11"/>
  <c r="K28" i="11" l="1"/>
  <c r="K48" i="11"/>
  <c r="K25" i="11"/>
  <c r="K24" i="11"/>
  <c r="K26" i="11"/>
  <c r="K23" i="11"/>
  <c r="K27" i="11"/>
  <c r="G6" i="11" l="1"/>
  <c r="D75" i="11"/>
  <c r="J75" i="11" s="1"/>
  <c r="E75" i="11"/>
  <c r="G75" i="11"/>
  <c r="D76" i="11"/>
  <c r="J76" i="11" s="1"/>
  <c r="E76" i="11"/>
  <c r="G76" i="11"/>
  <c r="I75" i="11" l="1"/>
  <c r="H75" i="11"/>
  <c r="I76" i="11"/>
  <c r="H76" i="11"/>
  <c r="K75" i="11" l="1"/>
  <c r="K76" i="11"/>
  <c r="G65" i="11" l="1"/>
  <c r="G66" i="11"/>
  <c r="G67" i="11"/>
  <c r="G68" i="11"/>
  <c r="G69" i="11"/>
  <c r="G70" i="11"/>
  <c r="G71" i="11"/>
  <c r="G72" i="11"/>
  <c r="G74" i="11"/>
  <c r="D65" i="11"/>
  <c r="J65" i="11" s="1"/>
  <c r="E65" i="11"/>
  <c r="D66" i="11"/>
  <c r="E66" i="11"/>
  <c r="D67" i="11"/>
  <c r="H67" i="11" s="1"/>
  <c r="E67" i="11"/>
  <c r="D68" i="11"/>
  <c r="H68" i="11" s="1"/>
  <c r="E68" i="11"/>
  <c r="D69" i="11"/>
  <c r="J69" i="11" s="1"/>
  <c r="E69" i="11"/>
  <c r="D70" i="11"/>
  <c r="E70" i="11"/>
  <c r="D71" i="11"/>
  <c r="H71" i="11" s="1"/>
  <c r="E71" i="11"/>
  <c r="D72" i="11"/>
  <c r="H72" i="11" s="1"/>
  <c r="E72" i="11"/>
  <c r="D74" i="11"/>
  <c r="H74" i="11" s="1"/>
  <c r="E74" i="11"/>
  <c r="G42" i="11"/>
  <c r="G43" i="11"/>
  <c r="G44" i="11"/>
  <c r="G45" i="11"/>
  <c r="G46" i="11"/>
  <c r="G47" i="11"/>
  <c r="D42" i="11"/>
  <c r="H42" i="11" s="1"/>
  <c r="E42" i="11"/>
  <c r="D43" i="11"/>
  <c r="J43" i="11" s="1"/>
  <c r="E43" i="11"/>
  <c r="I44" i="11"/>
  <c r="E44" i="11"/>
  <c r="E45" i="11"/>
  <c r="H46" i="11"/>
  <c r="E46" i="11"/>
  <c r="D47" i="11"/>
  <c r="J47" i="11" s="1"/>
  <c r="E47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G64" i="11"/>
  <c r="D64" i="11"/>
  <c r="J64" i="11" s="1"/>
  <c r="E64" i="11"/>
  <c r="F63" i="11"/>
  <c r="F62" i="11"/>
  <c r="F61" i="11"/>
  <c r="F60" i="11"/>
  <c r="F59" i="11"/>
  <c r="D58" i="11"/>
  <c r="J58" i="11" s="1"/>
  <c r="E58" i="11"/>
  <c r="G58" i="11"/>
  <c r="D59" i="11"/>
  <c r="J59" i="11" s="1"/>
  <c r="E59" i="11"/>
  <c r="G59" i="11"/>
  <c r="D60" i="11"/>
  <c r="H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E63" i="11"/>
  <c r="G63" i="11"/>
  <c r="D15" i="11"/>
  <c r="H15" i="11" s="1"/>
  <c r="E15" i="11"/>
  <c r="G15" i="11"/>
  <c r="H45" i="11" l="1"/>
  <c r="I70" i="11"/>
  <c r="I66" i="11"/>
  <c r="J72" i="11"/>
  <c r="I65" i="11"/>
  <c r="I69" i="11"/>
  <c r="H66" i="11"/>
  <c r="H70" i="11"/>
  <c r="J68" i="11"/>
  <c r="J74" i="11"/>
  <c r="I72" i="11"/>
  <c r="J71" i="11"/>
  <c r="H69" i="11"/>
  <c r="I68" i="11"/>
  <c r="J67" i="11"/>
  <c r="H65" i="11"/>
  <c r="I74" i="11"/>
  <c r="I71" i="11"/>
  <c r="J70" i="11"/>
  <c r="I67" i="11"/>
  <c r="J66" i="11"/>
  <c r="J42" i="11"/>
  <c r="H44" i="11"/>
  <c r="I47" i="11"/>
  <c r="J46" i="11"/>
  <c r="I43" i="11"/>
  <c r="H47" i="11"/>
  <c r="I46" i="11"/>
  <c r="J45" i="11"/>
  <c r="H43" i="11"/>
  <c r="I42" i="11"/>
  <c r="I45" i="11"/>
  <c r="J44" i="11"/>
  <c r="J38" i="11"/>
  <c r="J34" i="11"/>
  <c r="I38" i="11"/>
  <c r="J37" i="11"/>
  <c r="I33" i="11"/>
  <c r="J33" i="11"/>
  <c r="J30" i="11"/>
  <c r="J39" i="11"/>
  <c r="I35" i="11"/>
  <c r="I34" i="11"/>
  <c r="I37" i="11"/>
  <c r="I39" i="11"/>
  <c r="K39" i="11" s="1"/>
  <c r="J29" i="11"/>
  <c r="I41" i="11"/>
  <c r="H35" i="11"/>
  <c r="H31" i="11"/>
  <c r="J41" i="11"/>
  <c r="I31" i="11"/>
  <c r="I30" i="11"/>
  <c r="I29" i="11"/>
  <c r="I40" i="11"/>
  <c r="I32" i="11"/>
  <c r="H40" i="11"/>
  <c r="H36" i="11"/>
  <c r="H32" i="11"/>
  <c r="I36" i="11"/>
  <c r="I64" i="11"/>
  <c r="H64" i="11"/>
  <c r="I62" i="11"/>
  <c r="I58" i="11"/>
  <c r="J63" i="11"/>
  <c r="I63" i="11"/>
  <c r="J62" i="11"/>
  <c r="I61" i="11"/>
  <c r="J60" i="11"/>
  <c r="H58" i="11"/>
  <c r="H61" i="11"/>
  <c r="I60" i="11"/>
  <c r="I59" i="11"/>
  <c r="H63" i="11"/>
  <c r="H59" i="11"/>
  <c r="J15" i="11"/>
  <c r="I15" i="11"/>
  <c r="D52" i="11"/>
  <c r="J52" i="11" s="1"/>
  <c r="E52" i="11"/>
  <c r="G52" i="11"/>
  <c r="J53" i="11"/>
  <c r="E53" i="11"/>
  <c r="G53" i="11"/>
  <c r="J54" i="11"/>
  <c r="E54" i="11"/>
  <c r="G54" i="11"/>
  <c r="E55" i="11"/>
  <c r="G55" i="11"/>
  <c r="H55" i="11" s="1"/>
  <c r="E56" i="11"/>
  <c r="G56" i="11"/>
  <c r="D57" i="11"/>
  <c r="J57" i="11" s="1"/>
  <c r="E57" i="11"/>
  <c r="G57" i="11"/>
  <c r="K44" i="11" l="1"/>
  <c r="K72" i="11"/>
  <c r="K74" i="11"/>
  <c r="K66" i="11"/>
  <c r="K69" i="11"/>
  <c r="K67" i="11"/>
  <c r="K65" i="11"/>
  <c r="K70" i="11"/>
  <c r="K71" i="11"/>
  <c r="K68" i="11"/>
  <c r="K37" i="11"/>
  <c r="K45" i="11"/>
  <c r="K34" i="11"/>
  <c r="K42" i="11"/>
  <c r="K47" i="11"/>
  <c r="K46" i="11"/>
  <c r="K41" i="11"/>
  <c r="K38" i="11"/>
  <c r="K33" i="11"/>
  <c r="K43" i="11"/>
  <c r="K30" i="11"/>
  <c r="K31" i="11"/>
  <c r="K29" i="11"/>
  <c r="K35" i="11"/>
  <c r="K40" i="11"/>
  <c r="K32" i="11"/>
  <c r="K36" i="11"/>
  <c r="K64" i="11"/>
  <c r="K58" i="11"/>
  <c r="K59" i="11"/>
  <c r="K61" i="11"/>
  <c r="K62" i="11"/>
  <c r="K63" i="11"/>
  <c r="K60" i="11"/>
  <c r="K15" i="11"/>
  <c r="H56" i="11"/>
  <c r="I52" i="11"/>
  <c r="J55" i="11"/>
  <c r="H52" i="11"/>
  <c r="J56" i="11"/>
  <c r="I55" i="11"/>
  <c r="I54" i="11"/>
  <c r="I53" i="11"/>
  <c r="I56" i="11"/>
  <c r="I57" i="11"/>
  <c r="H53" i="11"/>
  <c r="H57" i="11"/>
  <c r="H54" i="11"/>
  <c r="K52" i="11" l="1"/>
  <c r="K56" i="11"/>
  <c r="K54" i="11"/>
  <c r="K55" i="11"/>
  <c r="K57" i="11"/>
  <c r="K53" i="11"/>
  <c r="D14" i="11" l="1"/>
  <c r="J14" i="11" s="1"/>
  <c r="J77" i="11" s="1"/>
  <c r="E14" i="11"/>
  <c r="G14" i="11"/>
  <c r="K19" i="60"/>
  <c r="D19" i="60"/>
  <c r="H14" i="11" l="1"/>
  <c r="H77" i="11" s="1"/>
  <c r="I14" i="11"/>
  <c r="I77" i="11" s="1"/>
  <c r="K14" i="11" l="1"/>
  <c r="K77" i="11" l="1"/>
  <c r="W48" i="64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A20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7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7" i="11"/>
  <c r="D78" i="11"/>
  <c r="H78" i="11" s="1"/>
  <c r="E7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7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8" i="11"/>
  <c r="I7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K36" i="39"/>
  <c r="K78" i="11"/>
  <c r="K80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0" i="11"/>
  <c r="H81" i="11" s="1"/>
  <c r="I80" i="11"/>
  <c r="I81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7" i="29" l="1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2" i="11"/>
  <c r="I8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81" i="11" l="1"/>
  <c r="K82" i="11" s="1"/>
  <c r="B8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0" i="11"/>
  <c r="J8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7" i="41" l="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<sst xmlns="http://schemas.openxmlformats.org/spreadsheetml/2006/main" count="4741" uniqueCount="1630">
  <si>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</si>
  <si>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</si>
  <si>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</si>
  <si>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</si>
  <si>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</si>
  <si>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</si>
  <si>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</si>
  <si>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</si>
  <si>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</si>
  <si>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</si>
  <si>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</si>
  <si>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</si>
  <si>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</si>
  <si>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</si>
  <si>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</si>
  <si>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</si>
  <si>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</si>
  <si>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</si>
  <si>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</si>
  <si>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</si>
  <si>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</si>
  <si>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</si>
  <si>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</si>
  <si>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</si>
  <si>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</si>
  <si>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</si>
  <si>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</si>
  <si>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</si>
  <si>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</si>
  <si>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</si>
  <si>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</si>
  <si>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</si>
  <si>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</si>
  <si>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</si>
  <si>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</si>
  <si>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</si>
  <si>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</si>
  <si>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</si>
  <si>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</si>
  <si>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</si>
  <si>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</si>
  <si>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</si>
  <si>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</si>
  <si>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</si>
  <si>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</si>
  <si>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</si>
  <si>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</si>
  <si>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</si>
  <si>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</si>
  <si>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</si>
  <si>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</si>
  <si>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</si>
  <si>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</si>
  <si>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</si>
  <si>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</si>
  <si>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</si>
  <si>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</si>
  <si>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</si>
  <si>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</si>
  <si>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</si>
  <si>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</si>
  <si>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</si>
  <si>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</si>
  <si>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</si>
  <si>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</si>
  <si>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</si>
  <si>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</si>
  <si>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</si>
  <si>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</si>
  <si>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</si>
  <si>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</si>
  <si>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</si>
  <si>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</si>
  <si>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</si>
  <si>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</si>
  <si>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</si>
  <si>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</si>
  <si>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</si>
  <si>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</si>
  <si>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</si>
  <si>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</si>
  <si>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</si>
  <si>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</si>
  <si>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</si>
  <si>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</si>
  <si>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</si>
  <si>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</si>
  <si>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</si>
  <si>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</si>
  <si>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</si>
  <si>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</si>
  <si>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</si>
  <si>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</si>
  <si>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</si>
  <si>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</si>
  <si>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</si>
  <si>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</si>
  <si>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</si>
  <si>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</si>
  <si>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</si>
  <si>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</si>
  <si>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</si>
  <si>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</si>
  <si>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</si>
  <si>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</si>
  <si>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</si>
  <si>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</si>
  <si>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</si>
  <si>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</si>
  <si>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</si>
  <si>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</si>
  <si>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</si>
  <si>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</si>
  <si>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</si>
  <si>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</si>
  <si>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</si>
  <si>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</si>
  <si>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</si>
  <si>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</si>
  <si>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</si>
  <si>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</si>
  <si>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</si>
  <si>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</si>
  <si>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</si>
  <si>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</si>
  <si>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</si>
  <si>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</si>
  <si>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</si>
  <si>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</si>
  <si>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</si>
  <si>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</si>
  <si>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</si>
  <si>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</si>
  <si>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</si>
  <si>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</si>
  <si>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</si>
  <si>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</si>
  <si>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</si>
  <si>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</si>
  <si>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</si>
  <si>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</si>
  <si>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</si>
  <si>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</si>
  <si>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</si>
  <si>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</si>
  <si>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</si>
  <si>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</si>
  <si>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</si>
  <si>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</si>
  <si>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</si>
  <si>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</si>
  <si>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</si>
  <si>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</si>
  <si>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</si>
  <si>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</si>
  <si>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</si>
  <si>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</si>
  <si>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</si>
  <si>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</si>
  <si>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</si>
  <si>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</si>
  <si>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</si>
  <si>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</si>
  <si>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</si>
  <si>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</si>
  <si>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</si>
  <si>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</si>
  <si>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</si>
  <si>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</si>
  <si>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</si>
  <si>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</si>
  <si>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</si>
  <si>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</si>
  <si>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</si>
  <si>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</si>
  <si>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</si>
  <si>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</si>
  <si>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</si>
  <si>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</si>
  <si>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</si>
  <si>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</si>
  <si>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</si>
  <si>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</si>
  <si>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</si>
  <si>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</si>
  <si>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</si>
  <si>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</si>
  <si>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</si>
  <si>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</si>
  <si>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</si>
  <si>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</si>
  <si>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</si>
  <si>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</si>
  <si>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</si>
  <si>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</si>
  <si>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</si>
  <si>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</si>
  <si>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</si>
  <si>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</si>
  <si>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</si>
  <si>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</si>
  <si>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</si>
  <si>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</si>
  <si>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</si>
  <si>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</si>
  <si>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</si>
  <si>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</si>
  <si>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</si>
  <si>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</si>
  <si>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</si>
  <si>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</si>
  <si>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</si>
  <si>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</si>
  <si>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</si>
  <si>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</si>
  <si>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</si>
  <si>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</si>
  <si>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</si>
  <si>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</si>
  <si>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</si>
  <si>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</si>
  <si>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</si>
  <si>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</si>
  <si>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</si>
  <si>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</si>
  <si>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</si>
  <si>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</si>
  <si>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</si>
  <si>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</si>
  <si>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</si>
  <si>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</si>
  <si>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</si>
  <si>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</si>
  <si>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</si>
  <si>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</si>
  <si>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</si>
  <si>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</si>
  <si>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</si>
  <si>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</si>
  <si>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</si>
  <si>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</si>
  <si>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</si>
  <si>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</si>
  <si>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</si>
  <si>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</si>
  <si>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</si>
  <si>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</si>
  <si>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</si>
  <si>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</si>
  <si>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</si>
  <si>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</si>
  <si>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</si>
  <si>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</si>
  <si>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</si>
  <si>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</si>
  <si>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</si>
  <si>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</si>
  <si>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</si>
  <si>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</si>
  <si>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</si>
  <si>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</si>
  <si>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</si>
  <si>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</si>
  <si>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</si>
  <si>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</si>
  <si>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</si>
  <si>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</si>
  <si>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</si>
  <si>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</si>
  <si>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</si>
  <si>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</si>
  <si>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</si>
  <si>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</si>
  <si>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</si>
  <si>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</si>
  <si>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</si>
  <si>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</si>
  <si>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</si>
  <si>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</si>
  <si>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</si>
  <si>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</si>
  <si>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</si>
  <si>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</si>
  <si>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</si>
  <si>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</si>
  <si>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</si>
  <si>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</si>
  <si>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</si>
  <si>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</si>
  <si>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</si>
  <si>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</si>
  <si>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</si>
  <si>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</si>
  <si>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</si>
  <si>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</si>
  <si>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</si>
  <si>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</si>
  <si>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</si>
  <si>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</si>
  <si>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</si>
  <si>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</si>
  <si>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</si>
  <si>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</si>
  <si>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</si>
  <si>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</si>
  <si>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</si>
  <si>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</si>
  <si>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</si>
  <si>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</si>
  <si>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</si>
  <si>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</si>
  <si>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</si>
  <si>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</si>
  <si>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</si>
  <si>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</si>
  <si>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</si>
  <si>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</si>
  <si>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</si>
  <si>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</si>
  <si>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</si>
  <si>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</si>
  <si>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</si>
  <si>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</si>
  <si>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</si>
  <si>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</si>
  <si>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</si>
  <si>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</si>
  <si>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</si>
  <si>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</si>
  <si>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</si>
  <si>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</si>
  <si>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</si>
  <si>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</si>
  <si>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</si>
  <si>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</si>
  <si>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</si>
  <si>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</si>
  <si>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</si>
  <si>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</si>
  <si>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</si>
  <si>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</si>
  <si>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</si>
  <si>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</si>
  <si>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</si>
  <si>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</si>
  <si>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</si>
  <si>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</si>
  <si>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</si>
  <si>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</si>
  <si>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</si>
  <si>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</si>
  <si>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</si>
  <si>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</si>
  <si>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</si>
  <si>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</si>
  <si>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</si>
  <si>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</si>
  <si>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</si>
  <si>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</si>
  <si>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</si>
  <si>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</si>
  <si>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</si>
  <si>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</si>
  <si>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</si>
  <si>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</si>
  <si>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</si>
  <si>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</si>
  <si>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</si>
  <si>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</si>
  <si>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</si>
  <si>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</si>
  <si>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</si>
  <si>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</si>
  <si>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</si>
  <si>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</si>
  <si>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</si>
  <si>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</si>
  <si>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</si>
  <si>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</si>
  <si>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</si>
  <si>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</si>
  <si>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</si>
  <si>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</si>
  <si>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</si>
  <si>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</si>
  <si>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</si>
  <si>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</si>
  <si>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</si>
  <si>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</si>
  <si>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</si>
  <si>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</si>
  <si>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</si>
  <si>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</si>
  <si>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</si>
  <si>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</si>
  <si>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</si>
  <si>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</si>
  <si>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</si>
  <si>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</si>
  <si>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</si>
  <si>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</si>
  <si>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</si>
  <si>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</si>
  <si>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</si>
  <si>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</si>
  <si>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</si>
  <si>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</si>
  <si>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</si>
  <si>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</si>
  <si>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</si>
  <si>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</si>
  <si>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</si>
  <si>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</si>
  <si>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</si>
  <si>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</si>
  <si>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</si>
  <si>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</si>
  <si>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</si>
  <si>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</si>
  <si>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</si>
  <si>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</si>
  <si>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</si>
  <si>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</si>
  <si>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</si>
  <si>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</si>
  <si>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</si>
  <si>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</si>
  <si>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</si>
  <si>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</si>
  <si>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</si>
  <si>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</si>
  <si>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</si>
  <si>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</si>
  <si>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</si>
  <si>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</si>
  <si>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</si>
  <si>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</si>
  <si>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</si>
  <si>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</si>
  <si>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</si>
  <si>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</si>
  <si>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</si>
  <si>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</si>
  <si>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</si>
  <si>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</si>
  <si>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</si>
  <si>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</si>
  <si>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</si>
  <si>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</si>
  <si>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</si>
  <si>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</si>
  <si>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</si>
  <si>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</si>
  <si>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</si>
  <si>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</si>
  <si>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</si>
  <si>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</si>
  <si>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</si>
  <si>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</si>
  <si>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</si>
  <si>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</si>
  <si>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</si>
  <si>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</si>
  <si>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</si>
  <si>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</si>
  <si>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</si>
  <si>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</si>
  <si>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</si>
  <si>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</si>
  <si>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</si>
  <si>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</si>
  <si>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</si>
  <si>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</si>
  <si>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</si>
  <si>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</si>
  <si>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</si>
  <si>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</si>
  <si>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</si>
  <si>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</si>
  <si>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</si>
  <si>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</si>
  <si>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</si>
  <si>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</si>
  <si>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</si>
  <si>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</si>
  <si>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</si>
  <si>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</si>
  <si>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</si>
  <si>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</si>
  <si>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</si>
  <si>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</si>
  <si>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</si>
  <si>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</si>
  <si>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</si>
  <si>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</si>
  <si>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</si>
  <si>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</si>
  <si>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</si>
  <si>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</si>
  <si>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</si>
  <si>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</si>
  <si>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</si>
  <si>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</si>
  <si>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</si>
  <si>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</si>
  <si>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</si>
  <si>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</si>
  <si>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</si>
  <si>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</si>
  <si>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</si>
  <si>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</si>
  <si>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</si>
  <si>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</si>
  <si>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</si>
  <si>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</si>
  <si>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</si>
  <si>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</si>
  <si>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</si>
  <si>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</si>
  <si>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</si>
  <si>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</si>
  <si>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</si>
  <si>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</si>
  <si>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</si>
  <si>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</si>
  <si>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</si>
  <si>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</si>
  <si>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</si>
  <si>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</si>
  <si>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</si>
  <si>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</si>
  <si>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</si>
  <si>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</si>
  <si>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</si>
  <si>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</si>
  <si>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</si>
  <si>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</si>
  <si>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</si>
  <si>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</si>
  <si>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</si>
  <si>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</si>
  <si>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</si>
  <si>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</si>
  <si>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</si>
  <si>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</si>
  <si>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</si>
  <si>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</si>
  <si>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</si>
  <si>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</si>
  <si>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</si>
  <si>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</si>
  <si>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</si>
  <si>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</si>
  <si>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</si>
  <si>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</si>
  <si>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</si>
  <si>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</si>
  <si>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</si>
  <si>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</si>
  <si>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</si>
  <si>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</si>
  <si>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</si>
  <si>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</si>
  <si>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</si>
  <si>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</si>
  <si>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</si>
  <si>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</si>
  <si>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</si>
  <si>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</si>
  <si>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</si>
  <si>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</si>
  <si>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</si>
  <si>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</si>
  <si>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</si>
  <si>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</si>
  <si>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</si>
  <si>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</si>
  <si>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</si>
  <si>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</si>
  <si>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</si>
  <si>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</si>
  <si>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</si>
  <si>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</si>
  <si>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</si>
  <si>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</si>
  <si>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</si>
  <si>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</si>
  <si>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</si>
  <si>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</si>
  <si>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</si>
  <si>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</si>
  <si>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</si>
  <si>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</si>
  <si>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</si>
  <si>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</si>
  <si>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</si>
  <si>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</si>
  <si>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</si>
  <si>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</si>
  <si>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</si>
  <si>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</si>
  <si>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</si>
  <si>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</si>
  <si>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</si>
  <si>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</si>
  <si>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</si>
  <si>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</si>
  <si>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</si>
  <si>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</si>
  <si>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</si>
  <si>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</si>
  <si>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</si>
  <si>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</si>
  <si>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</si>
  <si>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</si>
  <si>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</si>
  <si>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</si>
  <si>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</si>
  <si>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</si>
  <si>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</si>
  <si>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</si>
  <si>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</si>
  <si>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</si>
  <si>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</si>
  <si>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</si>
  <si>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</si>
  <si>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</si>
  <si>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</si>
  <si>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</si>
  <si>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</si>
  <si>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</si>
  <si>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</si>
  <si>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</si>
  <si>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</si>
  <si>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</si>
  <si>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</si>
  <si>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</si>
  <si>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</si>
  <si>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</si>
  <si>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</si>
  <si>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</si>
  <si>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</si>
  <si>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</si>
  <si>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</si>
  <si>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</si>
  <si>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</si>
  <si>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</si>
  <si>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</si>
  <si>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</si>
  <si>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</si>
  <si>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</si>
  <si>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</si>
  <si>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</si>
  <si>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</si>
  <si>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</si>
  <si>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</si>
  <si>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</si>
  <si>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</si>
  <si>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</si>
  <si>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</si>
  <si>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</si>
  <si>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</si>
  <si>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</si>
  <si>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</si>
  <si>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</si>
  <si>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</si>
  <si>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</si>
  <si>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</si>
  <si>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</si>
  <si>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</si>
  <si>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</si>
  <si>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</si>
  <si>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</si>
  <si>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</si>
  <si>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</si>
  <si>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</si>
  <si>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</si>
  <si>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</si>
  <si>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</si>
  <si>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</si>
  <si>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</si>
  <si>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</si>
  <si>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</si>
  <si>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</si>
  <si>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</si>
  <si>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</si>
  <si>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</si>
  <si>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</si>
  <si>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</si>
  <si>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</si>
  <si>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</si>
  <si>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</si>
  <si>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</si>
  <si>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</si>
  <si>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</si>
  <si>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</si>
  <si>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</si>
  <si>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</si>
  <si>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</si>
  <si>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</si>
  <si>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</si>
  <si>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</si>
  <si>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</si>
  <si>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</si>
  <si>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</si>
  <si>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</si>
  <si>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</si>
  <si>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</si>
  <si>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</si>
  <si>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</si>
  <si>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</si>
  <si>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</si>
  <si>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</si>
  <si>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</si>
  <si>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</si>
  <si>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</si>
  <si>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</si>
  <si>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</si>
  <si>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</si>
  <si>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</si>
  <si>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</si>
  <si>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</si>
  <si>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</si>
  <si>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</si>
  <si>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</si>
  <si>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</si>
  <si>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</si>
  <si>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</si>
  <si>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</si>
  <si>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</si>
  <si>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</si>
  <si>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</si>
  <si>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</si>
  <si>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</si>
  <si>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</si>
  <si>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</si>
  <si>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</si>
  <si>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</si>
  <si>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</si>
  <si>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</si>
  <si>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</si>
  <si>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</si>
  <si>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</si>
  <si>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</si>
  <si>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</si>
  <si>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</si>
  <si>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</si>
  <si>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</si>
  <si>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</si>
  <si>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</si>
  <si>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</si>
  <si>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</si>
  <si>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</si>
  <si>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</si>
  <si>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</si>
  <si>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</si>
  <si>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</si>
  <si>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</si>
  <si>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</si>
  <si>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</si>
  <si>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</si>
  <si>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</si>
  <si>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</si>
  <si>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</si>
  <si>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</si>
  <si>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</si>
  <si>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</si>
  <si>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</si>
  <si>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</si>
  <si>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</si>
  <si>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</si>
  <si>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</si>
  <si>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</si>
  <si>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</si>
  <si>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</si>
  <si>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</si>
  <si>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</si>
  <si>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</si>
  <si>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</si>
  <si>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</si>
  <si>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</si>
  <si>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</si>
  <si>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</si>
  <si>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</si>
  <si>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</si>
  <si>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</si>
  <si>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</si>
  <si>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</si>
  <si>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</si>
  <si>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</si>
  <si>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</si>
  <si>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</si>
  <si>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</si>
  <si>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</si>
  <si>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</si>
  <si>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</si>
  <si>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</si>
  <si>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</si>
  <si>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</si>
  <si>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</si>
  <si>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</si>
  <si>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</si>
  <si>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</si>
  <si>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</si>
  <si>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</si>
  <si>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</si>
  <si>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</si>
  <si>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</si>
  <si>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</si>
  <si>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</si>
  <si>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</si>
  <si>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</si>
  <si>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</si>
  <si>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</si>
  <si>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</si>
  <si>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</si>
  <si>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</si>
  <si>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</si>
  <si>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</si>
  <si>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</si>
  <si>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</si>
  <si>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</si>
  <si>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</si>
  <si>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</si>
  <si>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</si>
  <si>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</si>
  <si>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</si>
  <si>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</si>
  <si>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</si>
  <si>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</si>
  <si>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</si>
  <si>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</si>
  <si>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</si>
  <si>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</si>
  <si>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</si>
  <si>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</si>
  <si>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</si>
  <si>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</si>
  <si>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</si>
  <si>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</si>
  <si>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</si>
  <si>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</si>
  <si>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</si>
  <si>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</si>
  <si>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</si>
  <si>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</si>
  <si>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</si>
  <si>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</si>
  <si>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</si>
  <si>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</si>
  <si>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</si>
  <si>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</si>
  <si>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</si>
  <si>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</si>
  <si>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</si>
  <si>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</si>
  <si>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</si>
  <si>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</si>
  <si>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</si>
  <si>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</si>
  <si>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</si>
  <si>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</si>
  <si>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</si>
  <si>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</si>
  <si>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</si>
  <si>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</si>
  <si>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</si>
  <si>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</si>
  <si>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</si>
  <si>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</si>
  <si>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</si>
  <si>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</si>
  <si>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</si>
  <si>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</si>
  <si>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</si>
  <si>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</si>
  <si>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</si>
  <si>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</si>
  <si>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</si>
  <si>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</si>
  <si>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</si>
  <si>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</si>
  <si>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</si>
  <si>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</si>
  <si>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</si>
  <si>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</si>
  <si>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</si>
  <si>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</si>
  <si>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</si>
  <si>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</si>
  <si>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</si>
  <si>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</si>
  <si>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</si>
  <si>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</si>
  <si>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</si>
  <si>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</si>
  <si>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</si>
  <si>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</si>
  <si>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</si>
  <si>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</si>
  <si>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</si>
  <si>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</si>
  <si>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</si>
  <si>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</si>
  <si>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</si>
  <si>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</si>
  <si>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</si>
  <si>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</si>
  <si>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</si>
  <si>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</si>
  <si>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</si>
  <si>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</si>
  <si>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</si>
  <si>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</si>
  <si>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</si>
  <si>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</si>
  <si>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</si>
  <si>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</si>
  <si>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</si>
  <si>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</si>
  <si>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</si>
  <si>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</si>
  <si>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</si>
  <si>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</si>
  <si>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</si>
  <si>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</si>
  <si>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</si>
  <si>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</si>
  <si>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</si>
  <si>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</si>
  <si>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</si>
  <si>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</si>
  <si>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</si>
  <si>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</si>
  <si>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</si>
  <si>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</si>
  <si>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</si>
  <si>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</si>
  <si>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</si>
  <si>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</si>
  <si>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</si>
  <si>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</si>
  <si>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</si>
  <si>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</si>
  <si>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</si>
  <si>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</si>
  <si>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</si>
  <si>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</si>
  <si>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</si>
  <si>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</si>
  <si>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</si>
  <si>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</si>
  <si>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</si>
  <si>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</si>
  <si>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</si>
  <si>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</si>
  <si>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</si>
  <si>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</si>
  <si>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</si>
  <si>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</si>
  <si>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</si>
  <si>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</si>
  <si>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</si>
  <si>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</si>
  <si>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</si>
  <si>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</si>
  <si>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</si>
  <si>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</si>
  <si>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</si>
  <si>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</si>
  <si>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</si>
  <si>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</si>
  <si>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</si>
  <si>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</si>
  <si>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</si>
  <si>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</si>
  <si>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</si>
  <si>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</si>
  <si>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</si>
  <si>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</si>
  <si>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</si>
  <si>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</si>
  <si>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</si>
  <si>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</si>
  <si>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</si>
  <si>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</si>
  <si>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</si>
  <si>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</si>
  <si>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</si>
  <si>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</si>
  <si>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</si>
  <si>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</si>
  <si>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</si>
  <si>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</si>
  <si>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</si>
  <si>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</si>
  <si>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</si>
  <si>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</si>
  <si>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</si>
  <si>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</si>
  <si>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</si>
  <si>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</si>
  <si>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</si>
  <si>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</si>
  <si>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</si>
  <si>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</si>
  <si>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</si>
  <si>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</si>
  <si>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</si>
  <si>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</si>
  <si>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</si>
  <si>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</si>
  <si>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</si>
  <si>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</si>
  <si>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</si>
  <si>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</si>
  <si>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</si>
  <si>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</si>
  <si>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</si>
  <si>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</si>
  <si>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</si>
  <si>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</si>
  <si>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</si>
  <si>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</si>
  <si>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</si>
  <si>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</si>
  <si>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</si>
  <si>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</si>
  <si>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</si>
  <si>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</si>
  <si>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</si>
  <si>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</si>
  <si>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</si>
  <si>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</si>
  <si>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</si>
  <si>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</si>
  <si>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</si>
  <si>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</si>
  <si>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</si>
  <si>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</si>
  <si>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</si>
  <si>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</si>
  <si>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</si>
  <si>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</si>
  <si>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</si>
  <si>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</si>
  <si>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</si>
  <si>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</si>
  <si>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</si>
  <si>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</si>
  <si>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</si>
  <si>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</si>
  <si>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</si>
  <si>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</si>
  <si>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</si>
  <si>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</si>
  <si>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</si>
  <si>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</si>
  <si>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</si>
  <si>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</si>
  <si>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</si>
  <si>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</si>
  <si>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</si>
  <si>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</si>
  <si>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</si>
  <si>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</si>
  <si>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</si>
  <si>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</si>
  <si>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</si>
  <si>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</si>
  <si>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</si>
  <si>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</si>
  <si>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</si>
  <si>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</si>
  <si>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</si>
  <si>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</si>
  <si>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</si>
  <si>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</si>
  <si>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</si>
  <si>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</si>
  <si>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</si>
  <si>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</si>
  <si>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</si>
  <si>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</si>
  <si>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</si>
  <si>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</si>
  <si>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</si>
  <si>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</si>
  <si>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</si>
  <si>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</si>
  <si>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</si>
  <si>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</si>
  <si>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</si>
  <si>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</si>
  <si>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</si>
  <si>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</si>
  <si>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</si>
  <si>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</si>
  <si>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</si>
  <si>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</si>
  <si>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</si>
  <si>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</si>
  <si>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</si>
  <si>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</si>
  <si>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</si>
  <si>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</si>
  <si>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</si>
  <si>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</si>
  <si>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</si>
  <si>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</si>
  <si>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</si>
  <si>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</si>
  <si>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</si>
  <si>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</si>
  <si>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</si>
  <si>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</si>
  <si>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</si>
  <si>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</si>
  <si>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</si>
  <si>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</si>
  <si>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</si>
  <si>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</si>
  <si>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</si>
  <si>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</si>
  <si>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</si>
  <si>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</si>
  <si>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</si>
  <si>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</si>
  <si>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</si>
  <si>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</si>
  <si>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</si>
  <si>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</si>
  <si>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</si>
  <si>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</si>
  <si>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</si>
  <si>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</si>
  <si>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</si>
  <si>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</si>
  <si>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</si>
  <si>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</si>
  <si>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</si>
  <si>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</si>
  <si>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</si>
  <si>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</si>
  <si>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</si>
  <si>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</si>
  <si>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</si>
  <si>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</si>
  <si>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</si>
  <si>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</si>
  <si>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</si>
  <si>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</si>
  <si>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</si>
  <si>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</si>
  <si>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</si>
  <si>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</si>
  <si>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</si>
  <si>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</si>
  <si>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</si>
  <si>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</si>
  <si>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</si>
  <si>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</si>
  <si>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</si>
  <si>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</si>
  <si>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</si>
  <si>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</si>
  <si>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</si>
  <si>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</si>
  <si>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</si>
  <si>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</si>
  <si>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</si>
  <si>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</si>
  <si>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</si>
  <si>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</si>
  <si>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</si>
  <si>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</si>
  <si>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</si>
  <si>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</si>
  <si>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</si>
  <si>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</si>
  <si>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</si>
  <si>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</si>
  <si>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</si>
  <si>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</si>
  <si>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</si>
  <si>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</si>
  <si>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</si>
  <si>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</si>
  <si>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</si>
  <si>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</si>
  <si>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</si>
  <si>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</si>
  <si>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</si>
  <si>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</si>
  <si>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</si>
  <si>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</si>
  <si>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</si>
  <si>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</si>
  <si>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</si>
  <si>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</si>
  <si>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</si>
  <si>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</si>
  <si>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</si>
  <si>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</si>
  <si>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</si>
  <si>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</si>
  <si>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</si>
  <si>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</si>
  <si>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</si>
  <si>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</si>
  <si>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</si>
  <si>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</si>
  <si>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</si>
  <si>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</si>
  <si>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</si>
  <si>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</si>
  <si>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</si>
  <si>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</si>
  <si>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</si>
  <si>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</si>
  <si>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</si>
  <si>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</si>
  <si>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</si>
  <si>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</si>
  <si>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</si>
  <si>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</si>
  <si>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</si>
  <si>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</si>
  <si>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</si>
  <si>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</si>
  <si>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</si>
  <si>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</si>
  <si>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</si>
  <si>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</si>
  <si>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</si>
  <si>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</si>
  <si>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</si>
  <si>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</si>
  <si>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</si>
  <si>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</si>
  <si>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</si>
  <si>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</si>
  <si>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</si>
  <si>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</si>
  <si>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</si>
  <si>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</si>
  <si>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</si>
  <si>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</si>
  <si>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</si>
  <si>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</si>
  <si>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</si>
  <si>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</si>
  <si>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</si>
  <si>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</si>
  <si>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</si>
  <si>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</si>
  <si>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</si>
  <si>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</si>
  <si>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</si>
  <si>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</si>
  <si>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</si>
  <si>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</si>
  <si>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</si>
  <si>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</si>
  <si>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</si>
  <si>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</si>
  <si>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</si>
  <si>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</si>
  <si>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</si>
  <si>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</si>
  <si>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</si>
  <si>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</si>
  <si>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</si>
  <si>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</si>
  <si>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</si>
  <si>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</si>
  <si>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</si>
  <si>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</si>
  <si>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</si>
  <si>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</si>
  <si>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</si>
  <si>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</si>
  <si>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</si>
  <si>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</si>
  <si>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</si>
  <si>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</si>
  <si>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</si>
  <si>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</si>
  <si>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</si>
  <si>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</si>
  <si>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</si>
  <si>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</si>
  <si>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</si>
  <si>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</si>
  <si>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</si>
  <si>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</si>
  <si>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</si>
  <si>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</si>
  <si>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</si>
  <si>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</si>
  <si>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</si>
  <si>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</si>
  <si>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</si>
  <si>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</si>
  <si>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</si>
  <si>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</si>
  <si>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</si>
  <si>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</si>
  <si>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</si>
  <si>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</si>
  <si>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</si>
  <si>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</si>
  <si>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</si>
  <si>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</si>
  <si>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</si>
  <si>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</si>
  <si>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</si>
  <si>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</si>
  <si>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</si>
  <si>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</si>
  <si>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</si>
  <si>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</si>
  <si>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</si>
  <si>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</si>
  <si>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</si>
  <si>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</si>
  <si>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</si>
  <si>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</si>
  <si>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</si>
  <si>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</si>
  <si>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</si>
  <si>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</si>
  <si>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</si>
  <si>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</si>
  <si>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</si>
  <si>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</si>
  <si>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</si>
  <si>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</si>
  <si>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</si>
  <si>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</si>
  <si>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</si>
  <si>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</si>
  <si>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</si>
  <si>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</si>
  <si>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</si>
  <si>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</si>
  <si>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</si>
  <si>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</si>
  <si>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</si>
  <si>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</si>
  <si>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</si>
  <si>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</si>
  <si>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</si>
  <si>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</si>
  <si>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</si>
  <si>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</si>
  <si>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</si>
  <si>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</si>
  <si>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</si>
  <si>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</si>
  <si>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</si>
  <si>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</si>
  <si>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</si>
  <si>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</si>
  <si>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</si>
  <si>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</si>
  <si>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</si>
  <si>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</si>
  <si>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</si>
  <si>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</si>
  <si>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</si>
  <si>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</si>
  <si>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</si>
  <si>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</si>
  <si>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</si>
  <si>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</si>
  <si>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</si>
  <si>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</si>
  <si>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</si>
  <si>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</si>
  <si>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</si>
  <si>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</si>
  <si>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</si>
  <si>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</si>
  <si>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</si>
  <si>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</si>
  <si>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</si>
  <si>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</si>
  <si>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</si>
  <si>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</si>
  <si>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</si>
  <si>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</si>
  <si>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</si>
  <si>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</si>
  <si>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</si>
  <si>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</si>
  <si>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</si>
  <si>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</si>
  <si>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</si>
  <si>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</si>
  <si>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</si>
  <si>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</si>
  <si>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</si>
  <si>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</si>
  <si>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</si>
  <si>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</si>
  <si>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</si>
  <si>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</si>
  <si>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</si>
  <si>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</si>
  <si>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</si>
  <si>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</si>
  <si>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</si>
  <si>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</si>
  <si>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</si>
  <si>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</si>
  <si>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</si>
  <si>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</si>
  <si>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</si>
  <si>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</si>
  <si>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</si>
  <si>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</si>
  <si>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</si>
  <si>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</si>
  <si>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</si>
  <si>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</si>
  <si>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</si>
  <si>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</si>
  <si>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</si>
  <si>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</si>
  <si>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</si>
  <si>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</si>
  <si>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</si>
  <si>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</si>
  <si>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</si>
  <si>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</si>
  <si>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</si>
  <si>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</si>
  <si>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</si>
  <si>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</si>
  <si>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</si>
  <si>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</si>
  <si>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</si>
  <si>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</si>
  <si>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</si>
  <si>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</si>
  <si>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</si>
  <si>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</si>
  <si>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</si>
  <si>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</si>
  <si>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</si>
  <si>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</si>
  <si>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</si>
  <si>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</si>
  <si>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</si>
  <si>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</si>
  <si>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</si>
  <si>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</si>
  <si>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</si>
  <si>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</si>
  <si>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</si>
  <si>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</si>
  <si>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</si>
  <si>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</si>
  <si>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</si>
  <si>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</si>
  <si>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</si>
  <si>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</si>
  <si>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</si>
  <si>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</si>
  <si>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</si>
  <si>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</si>
  <si>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</si>
  <si>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</si>
  <si>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</si>
  <si>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</si>
  <si>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</si>
  <si>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</si>
  <si>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</si>
  <si>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</si>
  <si>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</si>
  <si>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</si>
  <si>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</si>
  <si>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</si>
  <si>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</si>
  <si>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</si>
  <si>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</si>
  <si>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</si>
  <si>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</si>
  <si>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</si>
  <si>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</si>
  <si>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</si>
  <si>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</si>
  <si>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</si>
  <si>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</si>
  <si>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</si>
  <si>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</si>
  <si>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</si>
  <si>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</si>
  <si>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</si>
  <si>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</si>
  <si>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</si>
  <si>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</si>
  <si>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</si>
  <si>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</si>
  <si>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</si>
  <si>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</si>
  <si>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</si>
  <si>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</si>
  <si>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</si>
  <si>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</si>
  <si>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</si>
  <si>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</si>
  <si>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</si>
  <si>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</si>
  <si>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</si>
  <si>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</si>
  <si>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</si>
  <si>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</si>
  <si>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</si>
  <si>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</si>
  <si>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</si>
  <si>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</si>
  <si>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</si>
  <si>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</si>
  <si>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</si>
  <si>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</si>
  <si>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</si>
  <si>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</si>
  <si>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</si>
  <si>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</si>
  <si>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</si>
  <si>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</si>
  <si>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</si>
  <si>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</si>
  <si>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</si>
  <si>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</si>
  <si>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</si>
  <si>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</si>
  <si>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</si>
  <si>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</si>
  <si>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</si>
  <si>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</si>
  <si>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</si>
  <si>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</si>
  <si>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</si>
  <si>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</si>
  <si>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</si>
  <si>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</si>
  <si>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</si>
  <si>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</si>
  <si>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</si>
  <si>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</si>
  <si>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</si>
  <si>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</si>
  <si>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</si>
  <si>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</si>
  <si>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</si>
  <si>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</si>
  <si>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</si>
  <si>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</si>
  <si>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</si>
  <si>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</si>
  <si>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</si>
  <si>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</si>
  <si>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</si>
  <si>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</si>
  <si>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</si>
  <si>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</si>
  <si>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</si>
  <si>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</si>
  <si>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</si>
  <si>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</si>
  <si>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</si>
  <si>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</si>
  <si>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</si>
  <si>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</si>
  <si>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</si>
  <si>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</si>
  <si>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</si>
  <si>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</si>
  <si>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</si>
  <si>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</si>
  <si>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</si>
  <si>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</si>
  <si>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</si>
  <si>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</si>
  <si>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</si>
  <si>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</si>
  <si>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</si>
  <si>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</si>
  <si>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</si>
  <si>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</si>
  <si>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</si>
  <si>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</si>
  <si>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</si>
  <si>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</si>
  <si>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</si>
  <si>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</si>
  <si>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</si>
  <si>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</si>
  <si>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</si>
  <si>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</si>
  <si>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</si>
  <si>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</si>
  <si>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</si>
  <si>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</si>
  <si>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</si>
  <si>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KONSTRUKSI TRAFO</t>
  </si>
  <si>
    <t>PEKERJAAN PEMASANGAN APP</t>
  </si>
  <si>
    <t>B2</t>
  </si>
  <si>
    <t>CM2-11</t>
  </si>
  <si>
    <t>CJ6-T</t>
  </si>
  <si>
    <t>MJ6-T</t>
  </si>
  <si>
    <t>KONDUKTOR</t>
  </si>
  <si>
    <t>Pemasangan APP 3 Fasa Di Bangunan</t>
  </si>
  <si>
    <t>CJ5-T</t>
  </si>
  <si>
    <t>SYG07-91/4</t>
  </si>
  <si>
    <t>SYG 07</t>
  </si>
  <si>
    <t>KLINIK UTAMA MUTIARA</t>
  </si>
  <si>
    <t>Daya 10.600 VA</t>
  </si>
  <si>
    <t>JL TEUKU UMAR MANGUNJIWAN</t>
  </si>
  <si>
    <t>KOORDINAT : -6.896961, 110.620903</t>
  </si>
  <si>
    <t>Staf Teknik</t>
  </si>
  <si>
    <t>TL Teknik</t>
  </si>
  <si>
    <t>MULP</t>
  </si>
  <si>
    <t>Mbag Ren</t>
  </si>
  <si>
    <t>Demak, 12 Oktober 2023</t>
  </si>
  <si>
    <t>MANAGER ULP</t>
  </si>
  <si>
    <t>ACHMAD SUHENDRO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</si>
</sst>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" fillId="0" borderId="0"/>
    <xf numFmtId="41" fontId="23" fillId="0" borderId="0" applyFont="0" applyFill="0" applyBorder="0" applyAlignment="0" applyProtection="0"/>
    <xf numFmtId="0" fontId="8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5"/>
    <xf numFmtId="0" fontId="90" fillId="0" borderId="96"/>
    <xf numFmtId="43" fontId="23" fillId="0" borderId="0" applyFont="0" applyFill="0" applyBorder="0" applyAlignment="0" applyProtection="0"/>
    <xf numFmtId="0" fontId="38" fillId="20" borderId="103" applyNumberFormat="0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8" fillId="21" borderId="99" applyNumberFormat="0" applyAlignment="0" applyProtection="0"/>
    <xf numFmtId="0" fontId="34" fillId="7" borderId="107" applyNumberFormat="0" applyAlignment="0" applyProtection="0"/>
    <xf numFmtId="0" fontId="40" fillId="0" borderId="104" applyNumberFormat="0" applyFill="0" applyAlignment="0" applyProtection="0"/>
    <xf numFmtId="0" fontId="7" fillId="0" borderId="0"/>
    <xf numFmtId="0" fontId="7" fillId="0" borderId="0"/>
    <xf numFmtId="0" fontId="89" fillId="0" borderId="106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40" fillId="0" borderId="110" applyNumberFormat="0" applyFill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7" fillId="0" borderId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43" fontId="7" fillId="0" borderId="0" applyFont="0" applyFill="0" applyBorder="0" applyAlignment="0" applyProtection="0"/>
    <xf numFmtId="0" fontId="80" fillId="23" borderId="105"/>
    <xf numFmtId="0" fontId="80" fillId="0" borderId="105"/>
    <xf numFmtId="0" fontId="80" fillId="0" borderId="100"/>
    <xf numFmtId="0" fontId="80" fillId="0" borderId="100"/>
    <xf numFmtId="0" fontId="75" fillId="0" borderId="105"/>
    <xf numFmtId="0" fontId="75" fillId="0" borderId="105"/>
    <xf numFmtId="0" fontId="75" fillId="0" borderId="111"/>
    <xf numFmtId="0" fontId="75" fillId="0" borderId="111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7" fillId="0" borderId="0"/>
    <xf numFmtId="0" fontId="7" fillId="0" borderId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17" fillId="27" borderId="108" applyNumberFormat="0" applyFont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38" fillId="20" borderId="103" applyNumberFormat="0" applyAlignment="0" applyProtection="0"/>
    <xf numFmtId="0" fontId="23" fillId="27" borderId="102" applyNumberFormat="0" applyFont="0" applyAlignment="0" applyProtection="0"/>
    <xf numFmtId="0" fontId="34" fillId="7" borderId="101" applyNumberFormat="0" applyAlignment="0" applyProtection="0"/>
    <xf numFmtId="0" fontId="27" fillId="20" borderId="101" applyNumberForma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34" fillId="7" borderId="107" applyNumberFormat="0" applyAlignment="0" applyProtection="0"/>
    <xf numFmtId="0" fontId="27" fillId="20" borderId="107" applyNumberFormat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89" fillId="0" borderId="112"/>
    <xf numFmtId="0" fontId="34" fillId="7" borderId="107" applyNumberFormat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5" fillId="0" borderId="111"/>
    <xf numFmtId="0" fontId="75" fillId="0" borderId="111"/>
    <xf numFmtId="0" fontId="80" fillId="0" borderId="100"/>
    <xf numFmtId="0" fontId="80" fillId="0" borderId="100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9" fontId="23" fillId="0" borderId="0" applyFont="0" applyFill="0" applyBorder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13"/>
    <xf numFmtId="0" fontId="89" fillId="0" borderId="113"/>
    <xf numFmtId="0" fontId="90" fillId="0" borderId="114"/>
    <xf numFmtId="0" fontId="90" fillId="0" borderId="114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11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75" fillId="0" borderId="140"/>
    <xf numFmtId="0" fontId="34" fillId="7" borderId="10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17" fillId="27" borderId="125" applyNumberFormat="0" applyFont="0" applyAlignment="0" applyProtection="0"/>
    <xf numFmtId="0" fontId="4" fillId="0" borderId="0"/>
    <xf numFmtId="0" fontId="34" fillId="7" borderId="117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27" fillId="20" borderId="136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4" fillId="0" borderId="0"/>
    <xf numFmtId="194" fontId="44" fillId="28" borderId="125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3" fillId="0" borderId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27" fillId="20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23" fillId="27" borderId="125" applyNumberFormat="0" applyFont="0" applyAlignment="0" applyProtection="0"/>
    <xf numFmtId="0" fontId="38" fillId="20" borderId="126" applyNumberFormat="0" applyAlignment="0" applyProtection="0"/>
    <xf numFmtId="0" fontId="89" fillId="0" borderId="123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43" fontId="23" fillId="0" borderId="0" applyFont="0" applyFill="0" applyBorder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80" fillId="23" borderId="134"/>
    <xf numFmtId="0" fontId="80" fillId="0" borderId="134"/>
    <xf numFmtId="0" fontId="75" fillId="0" borderId="134"/>
    <xf numFmtId="0" fontId="75" fillId="0" borderId="134"/>
    <xf numFmtId="43" fontId="4" fillId="0" borderId="0" applyFont="0" applyFill="0" applyBorder="0" applyAlignment="0" applyProtection="0"/>
    <xf numFmtId="0" fontId="75" fillId="0" borderId="140"/>
    <xf numFmtId="0" fontId="75" fillId="0" borderId="128"/>
    <xf numFmtId="0" fontId="75" fillId="0" borderId="128"/>
    <xf numFmtId="0" fontId="80" fillId="0" borderId="140"/>
    <xf numFmtId="0" fontId="80" fillId="23" borderId="140"/>
    <xf numFmtId="0" fontId="80" fillId="0" borderId="128"/>
    <xf numFmtId="0" fontId="75" fillId="0" borderId="118"/>
    <xf numFmtId="0" fontId="75" fillId="0" borderId="118"/>
    <xf numFmtId="0" fontId="75" fillId="0" borderId="118"/>
    <xf numFmtId="0" fontId="75" fillId="0" borderId="118"/>
    <xf numFmtId="0" fontId="80" fillId="23" borderId="128"/>
    <xf numFmtId="0" fontId="80" fillId="0" borderId="118"/>
    <xf numFmtId="0" fontId="80" fillId="0" borderId="118"/>
    <xf numFmtId="0" fontId="80" fillId="23" borderId="118"/>
    <xf numFmtId="0" fontId="80" fillId="23" borderId="118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3" fillId="27" borderId="137" applyNumberFormat="0" applyFont="0" applyAlignment="0" applyProtection="0"/>
    <xf numFmtId="194" fontId="44" fillId="28" borderId="137" applyAlignment="0" applyProtection="0"/>
    <xf numFmtId="194" fontId="44" fillId="28" borderId="137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34" fillId="7" borderId="117" applyNumberFormat="0" applyAlignment="0" applyProtection="0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6" applyNumberFormat="0" applyAlignment="0" applyProtection="0"/>
    <xf numFmtId="0" fontId="89" fillId="0" borderId="115"/>
    <xf numFmtId="0" fontId="90" fillId="0" borderId="116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17" applyNumberFormat="0" applyAlignment="0" applyProtection="0"/>
    <xf numFmtId="0" fontId="23" fillId="27" borderId="137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0" borderId="0"/>
    <xf numFmtId="194" fontId="44" fillId="28" borderId="125" applyAlignment="0" applyProtection="0"/>
    <xf numFmtId="0" fontId="23" fillId="0" borderId="0"/>
    <xf numFmtId="0" fontId="34" fillId="7" borderId="136" applyNumberFormat="0" applyAlignment="0" applyProtection="0"/>
    <xf numFmtId="0" fontId="34" fillId="7" borderId="136" applyNumberForma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4" fillId="0" borderId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4" fillId="0" borderId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194" fontId="44" fillId="28" borderId="137" applyAlignment="0" applyProtection="0"/>
    <xf numFmtId="0" fontId="38" fillId="20" borderId="132" applyNumberFormat="0" applyAlignment="0" applyProtection="0"/>
    <xf numFmtId="0" fontId="23" fillId="27" borderId="131" applyNumberFormat="0" applyFont="0" applyAlignment="0" applyProtection="0"/>
    <xf numFmtId="0" fontId="89" fillId="0" borderId="129"/>
    <xf numFmtId="0" fontId="4" fillId="0" borderId="0"/>
    <xf numFmtId="0" fontId="27" fillId="20" borderId="13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194" fontId="44" fillId="28" borderId="137" applyAlignment="0" applyProtection="0"/>
    <xf numFmtId="194" fontId="44" fillId="28" borderId="137" applyAlignment="0" applyProtection="0"/>
    <xf numFmtId="0" fontId="89" fillId="0" borderId="122"/>
    <xf numFmtId="0" fontId="89" fillId="0" borderId="122"/>
    <xf numFmtId="0" fontId="17" fillId="27" borderId="137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0" fontId="34" fillId="7" borderId="124" applyNumberFormat="0" applyAlignment="0" applyProtection="0"/>
    <xf numFmtId="0" fontId="40" fillId="0" borderId="127" applyNumberFormat="0" applyFill="0" applyAlignment="0" applyProtection="0"/>
    <xf numFmtId="0" fontId="27" fillId="20" borderId="136" applyNumberFormat="0" applyAlignment="0" applyProtection="0"/>
    <xf numFmtId="0" fontId="34" fillId="7" borderId="107" applyNumberFormat="0" applyAlignment="0" applyProtection="0"/>
    <xf numFmtId="0" fontId="89" fillId="0" borderId="115"/>
    <xf numFmtId="0" fontId="23" fillId="27" borderId="137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38" fillId="20" borderId="126" applyNumberFormat="0" applyAlignment="0" applyProtection="0"/>
    <xf numFmtId="0" fontId="23" fillId="27" borderId="137" applyNumberFormat="0" applyFont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33" applyNumberFormat="0" applyFill="0" applyAlignment="0" applyProtection="0"/>
    <xf numFmtId="0" fontId="34" fillId="7" borderId="130" applyNumberFormat="0" applyAlignment="0" applyProtection="0"/>
    <xf numFmtId="0" fontId="40" fillId="0" borderId="127" applyNumberFormat="0" applyFill="0" applyAlignment="0" applyProtection="0"/>
    <xf numFmtId="0" fontId="17" fillId="27" borderId="137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4" fillId="0" borderId="0"/>
    <xf numFmtId="0" fontId="40" fillId="0" borderId="127" applyNumberFormat="0" applyFill="0" applyAlignment="0" applyProtection="0"/>
    <xf numFmtId="43" fontId="12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40" fillId="0" borderId="139" applyNumberFormat="0" applyFill="0" applyAlignment="0" applyProtection="0"/>
    <xf numFmtId="0" fontId="38" fillId="20" borderId="138" applyNumberFormat="0" applyAlignment="0" applyProtection="0"/>
    <xf numFmtId="0" fontId="23" fillId="27" borderId="137" applyNumberFormat="0" applyFont="0" applyAlignment="0" applyProtection="0"/>
    <xf numFmtId="0" fontId="89" fillId="0" borderId="135"/>
    <xf numFmtId="0" fontId="34" fillId="7" borderId="136" applyNumberFormat="0" applyAlignment="0" applyProtection="0"/>
    <xf numFmtId="0" fontId="27" fillId="20" borderId="136" applyNumberFormat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1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89" fillId="0" borderId="141"/>
    <xf numFmtId="0" fontId="34" fillId="7" borderId="136" applyNumberFormat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23" fillId="0" borderId="0"/>
  </cellStyleXfs>
  <cellXfs count="699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8" xfId="0" applyFont="1" applyFill="1" applyBorder="1" applyAlignment="1">
      <alignment horizontal="center" vertical="center"/>
    </xf>
    <xf numFmtId="0" fontId="121" fillId="33" borderId="69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79" xfId="2670" applyFont="1" applyFill="1" applyBorder="1" applyAlignment="1">
      <alignment horizontal="left" vertical="center"/>
    </xf>
    <xf numFmtId="0" fontId="162" fillId="39" borderId="80" xfId="2670" applyFont="1" applyFill="1" applyBorder="1" applyAlignment="1">
      <alignment horizontal="center" vertical="center"/>
    </xf>
    <xf numFmtId="0" fontId="162" fillId="39" borderId="82" xfId="2670" applyFont="1" applyFill="1" applyBorder="1" applyAlignment="1">
      <alignment horizontal="left" vertical="center"/>
    </xf>
    <xf numFmtId="0" fontId="162" fillId="39" borderId="78" xfId="2670" applyFont="1" applyFill="1" applyBorder="1" applyAlignment="1">
      <alignment horizontal="center" vertical="center"/>
    </xf>
    <xf numFmtId="0" fontId="162" fillId="39" borderId="84" xfId="2670" applyFont="1" applyFill="1" applyBorder="1" applyAlignment="1">
      <alignment horizontal="left" vertical="center"/>
    </xf>
    <xf numFmtId="0" fontId="162" fillId="39" borderId="85" xfId="2670" applyFont="1" applyFill="1" applyBorder="1" applyAlignment="1">
      <alignment horizontal="center" vertical="center"/>
    </xf>
    <xf numFmtId="167" fontId="143" fillId="40" borderId="81" xfId="2672" applyFont="1" applyFill="1" applyBorder="1" applyAlignment="1" applyProtection="1">
      <alignment horizontal="right" vertical="center" wrapText="1"/>
      <protection locked="0"/>
    </xf>
    <xf numFmtId="167" fontId="143" fillId="40" borderId="83" xfId="2672" applyFont="1" applyFill="1" applyBorder="1" applyAlignment="1" applyProtection="1">
      <alignment horizontal="right" vertical="center"/>
      <protection locked="0"/>
    </xf>
    <xf numFmtId="169" fontId="143" fillId="40" borderId="83" xfId="2672" applyNumberFormat="1" applyFont="1" applyFill="1" applyBorder="1" applyAlignment="1" applyProtection="1">
      <alignment horizontal="right" vertical="center"/>
      <protection locked="0"/>
    </xf>
    <xf numFmtId="169" fontId="143" fillId="40" borderId="86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0" xfId="2673" applyFont="1" applyFill="1" applyBorder="1" applyAlignment="1">
      <alignment vertical="center" wrapText="1"/>
    </xf>
    <xf numFmtId="0" fontId="149" fillId="43" borderId="90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4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0" fontId="94" fillId="0" borderId="40" xfId="1450" applyFont="1" applyBorder="1" applyAlignment="1">
      <alignment horizontal="center" vertical="center"/>
    </xf>
    <xf numFmtId="0" fontId="94" fillId="0" borderId="47" xfId="1450" applyFont="1" applyBorder="1" applyAlignment="1">
      <alignment horizontal="center" vertical="center"/>
    </xf>
    <xf numFmtId="0" fontId="45" fillId="0" borderId="20" xfId="1615" applyFont="1" applyBorder="1" applyAlignment="1">
      <alignment horizontal="center" vertical="center"/>
    </xf>
    <xf numFmtId="0" fontId="45" fillId="0" borderId="21" xfId="1615" applyFont="1" applyBorder="1" applyAlignment="1">
      <alignment horizontal="left" vertical="center" wrapText="1"/>
    </xf>
    <xf numFmtId="0" fontId="116" fillId="0" borderId="20" xfId="1653" applyFont="1" applyBorder="1" applyAlignment="1">
      <alignment horizontal="center" vertical="center"/>
    </xf>
    <xf numFmtId="0" fontId="177" fillId="0" borderId="20" xfId="1653" applyFont="1" applyBorder="1" applyAlignment="1">
      <alignment horizontal="center" vertical="center"/>
    </xf>
    <xf numFmtId="0" fontId="177" fillId="0" borderId="21" xfId="1653" applyFont="1" applyBorder="1" applyAlignment="1">
      <alignment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23" fillId="0" borderId="21" xfId="1451" applyBorder="1" applyAlignment="1">
      <alignment horizontal="left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horizontal="left" vertical="center" wrapText="1"/>
    </xf>
    <xf numFmtId="0" fontId="130" fillId="48" borderId="21" xfId="1652" applyFont="1" applyFill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3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1" xfId="2673" applyNumberFormat="1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66" fillId="41" borderId="88" xfId="2673" applyFont="1" applyFill="1" applyBorder="1" applyAlignment="1">
      <alignment horizontal="center" vertical="center" wrapText="1"/>
    </xf>
    <xf numFmtId="0" fontId="166" fillId="41" borderId="89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0" fontId="166" fillId="42" borderId="88" xfId="2673" applyFont="1" applyFill="1" applyBorder="1" applyAlignment="1">
      <alignment horizontal="center" vertical="center" wrapText="1"/>
    </xf>
    <xf numFmtId="0" fontId="166" fillId="42" borderId="89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1" xfId="2673" applyNumberFormat="1" applyFont="1" applyFill="1" applyBorder="1" applyAlignment="1">
      <alignment horizontal="center" vertical="center" wrapText="1"/>
    </xf>
    <xf numFmtId="0" fontId="11" fillId="34" borderId="76" xfId="2670" applyFill="1" applyBorder="1" applyAlignment="1">
      <alignment horizontal="center" vertical="center"/>
    </xf>
    <xf numFmtId="0" fontId="141" fillId="0" borderId="77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0" borderId="60" xfId="1450" applyFont="1" applyBorder="1" applyAlignment="1">
      <alignment horizontal="left" vertical="center"/>
    </xf>
    <xf numFmtId="0" fontId="94" fillId="0" borderId="61" xfId="1450" applyFont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center"/>
    </xf>
    <xf numFmtId="0" fontId="121" fillId="33" borderId="72" xfId="0" applyFont="1" applyFill="1" applyBorder="1" applyAlignment="1">
      <alignment horizontal="left" vertical="center"/>
    </xf>
    <xf numFmtId="0" fontId="121" fillId="33" borderId="73" xfId="0" applyFont="1" applyFill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left" vertical="center"/>
    </xf>
    <xf numFmtId="0" fontId="94" fillId="33" borderId="40" xfId="0" applyFont="1" applyFill="1" applyBorder="1" applyAlignment="1">
      <alignment horizontal="left" vertical="center"/>
    </xf>
    <xf numFmtId="0" fontId="122" fillId="33" borderId="74" xfId="0" applyFont="1" applyFill="1" applyBorder="1" applyAlignment="1">
      <alignment horizontal="center" vertical="center" wrapText="1"/>
    </xf>
    <xf numFmtId="0" fontId="122" fillId="33" borderId="75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0.6359999999999999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0.46072551481332125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2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123264</xdr:colOff>
      <xdr:row>37</xdr:row>
      <xdr:rowOff>190500</xdr:rowOff>
    </xdr:from>
    <xdr:to>
      <xdr:col>19</xdr:col>
      <xdr:colOff>199464</xdr:colOff>
      <xdr:row>38</xdr:row>
      <xdr:rowOff>137784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771E4346-90C7-4C90-B2E4-B96F4584EA2C}"/>
            </a:ext>
          </a:extLst>
        </xdr:cNvPr>
        <xdr:cNvSpPr/>
      </xdr:nvSpPr>
      <xdr:spPr>
        <a:xfrm>
          <a:off x="14052176" y="8998324"/>
          <a:ext cx="76200" cy="193813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19</xdr:col>
      <xdr:colOff>246530</xdr:colOff>
      <xdr:row>37</xdr:row>
      <xdr:rowOff>212911</xdr:rowOff>
    </xdr:from>
    <xdr:to>
      <xdr:col>19</xdr:col>
      <xdr:colOff>303680</xdr:colOff>
      <xdr:row>38</xdr:row>
      <xdr:rowOff>196431</xdr:rowOff>
    </xdr:to>
    <xdr:sp macro="" textlink="">
      <xdr:nvSpPr>
        <xdr:cNvPr id="4" name="Freeform: Shape 3">
          <a:extLst>
            <a:ext uri="{FF2B5EF4-FFF2-40B4-BE49-F238E27FC236}">
              <a16:creationId xmlns:a16="http://schemas.microsoft.com/office/drawing/2014/main" id="{546F0B5E-0FFB-42FA-BDD1-6DCE74565E07}"/>
            </a:ext>
          </a:extLst>
        </xdr:cNvPr>
        <xdr:cNvSpPr/>
      </xdr:nvSpPr>
      <xdr:spPr>
        <a:xfrm>
          <a:off x="14175442" y="9020735"/>
          <a:ext cx="57150" cy="230049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258535</xdr:colOff>
      <xdr:row>93</xdr:row>
      <xdr:rowOff>68036</xdr:rowOff>
    </xdr:from>
    <xdr:to>
      <xdr:col>10</xdr:col>
      <xdr:colOff>334735</xdr:colOff>
      <xdr:row>94</xdr:row>
      <xdr:rowOff>71349</xdr:rowOff>
    </xdr:to>
    <xdr:sp macro="" textlink="">
      <xdr:nvSpPr>
        <xdr:cNvPr id="5" name="Freeform: Shape 4">
          <a:extLst>
            <a:ext uri="{FF2B5EF4-FFF2-40B4-BE49-F238E27FC236}">
              <a16:creationId xmlns:a16="http://schemas.microsoft.com/office/drawing/2014/main" id="{D235DD7C-8FFA-49E6-93E3-E9B4CE922FA0}"/>
            </a:ext>
          </a:extLst>
        </xdr:cNvPr>
        <xdr:cNvSpPr/>
      </xdr:nvSpPr>
      <xdr:spPr>
        <a:xfrm>
          <a:off x="11280321" y="17947822"/>
          <a:ext cx="76200" cy="193813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367393</xdr:colOff>
      <xdr:row>93</xdr:row>
      <xdr:rowOff>40821</xdr:rowOff>
    </xdr:from>
    <xdr:to>
      <xdr:col>10</xdr:col>
      <xdr:colOff>424543</xdr:colOff>
      <xdr:row>94</xdr:row>
      <xdr:rowOff>80370</xdr:rowOff>
    </xdr:to>
    <xdr:sp macro="" textlink="">
      <xdr:nvSpPr>
        <xdr:cNvPr id="6" name="Freeform: Shape 5">
          <a:extLst>
            <a:ext uri="{FF2B5EF4-FFF2-40B4-BE49-F238E27FC236}">
              <a16:creationId xmlns:a16="http://schemas.microsoft.com/office/drawing/2014/main" id="{18208A5C-C9E5-43F5-817B-7C81BAE3D0F6}"/>
            </a:ext>
          </a:extLst>
        </xdr:cNvPr>
        <xdr:cNvSpPr/>
      </xdr:nvSpPr>
      <xdr:spPr>
        <a:xfrm>
          <a:off x="11389179" y="17920607"/>
          <a:ext cx="57150" cy="230049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162381</xdr:colOff>
      <xdr:row>2</xdr:row>
      <xdr:rowOff>9474</xdr:rowOff>
    </xdr:from>
    <xdr:to>
      <xdr:col>21</xdr:col>
      <xdr:colOff>247902</xdr:colOff>
      <xdr:row>6</xdr:row>
      <xdr:rowOff>106801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4C3B014-83CD-40FE-B8A9-0BC7667C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4181" y="333324"/>
          <a:ext cx="847521" cy="706927"/>
        </a:xfrm>
        <a:prstGeom prst="rect">
          <a:avLst/>
        </a:prstGeom>
      </xdr:spPr>
    </xdr:pic>
    <xdr:clientData/>
  </xdr:twoCellAnchor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D73720E7-A420-4542-B169-8235A252EC25}"/>
            </a:ext>
          </a:extLst>
        </xdr:cNvPr>
        <xdr:cNvGrpSpPr/>
      </xdr:nvGrpSpPr>
      <xdr:grpSpPr>
        <a:xfrm>
          <a:off x="9570352" y="826937"/>
          <a:ext cx="1375200" cy="1803954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060D6BD9-5867-48B6-A58F-14F6B7242CA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42E06FCA-F10D-4B75-8F4D-C30574A5C02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74666ABA-1610-4B8A-B267-2928592C5081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191">
              <a:extLst>
                <a:ext uri="{FF2B5EF4-FFF2-40B4-BE49-F238E27FC236}">
                  <a16:creationId xmlns:a16="http://schemas.microsoft.com/office/drawing/2014/main" id="{40B04D93-B0CD-4C8A-ACCE-583AA61D45C5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AB13FFD3-55F1-44AB-B64B-810D0F3763F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/>
          </a:p>
        </xdr:txBody>
      </xdr:sp>
      <xdr:grpSp>
        <xdr:nvGrpSpPr>
          <xdr:cNvPr id="133" name="Group 14">
            <a:extLst>
              <a:ext uri="{FF2B5EF4-FFF2-40B4-BE49-F238E27FC236}">
                <a16:creationId xmlns:a16="http://schemas.microsoft.com/office/drawing/2014/main" id="{9DFBB569-95A6-4E03-8661-F903AD9F0FB6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EBB5BC96-D2C8-40AB-A288-998E50E3E9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10699C66-1696-454E-AE13-14EC74788CCD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516C53E-FE28-4CE5-A4D4-B072165A2448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F076118B-6F21-4E64-9C92-DE4D9316EF4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B91A31F-77CD-47E5-87F7-18DE94BC809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16DED4B0-A7C7-4DFF-8113-9C2EFAD207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76289E5-8205-4203-BECE-51010B9FEA1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B8142599-3DDE-45A6-8925-862C6B3BF3F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63D48E4-10BE-40A8-8A2E-3258EE9F73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FBE62B-8402-440A-B6FA-D911E36F4BA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6B13B81D-9F57-4E80-86CD-5CFCDB6F360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F1FC6061-B7D8-446B-87EF-A335A61E0A3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EEB5C5B7-133E-45E8-8BD2-36F808F2949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8BA487D9-57A9-44F1-95CA-4632A139793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7209C2-33B5-43A0-97EE-64F51174C4D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FF1CF2-D55B-4A6B-9378-747A93166DB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7FBF3ED9-7102-40DA-99CF-07C5F2CE456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B2996898-91A6-4687-872C-44CCF54C92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46997BEE-8ED5-4F0F-84DC-C0EEB70A5C4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A64C4F3F-0B38-4085-9379-83CCEBB85C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A9386DA-8BC6-4561-8C99-5E8150D598F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2284A60-DB47-4B3B-812F-3F276FE9839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D484FEF-846A-4886-A2A9-C34A3595516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50B8706F-1611-465A-9017-B05D6F0F565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FF809A73-3871-4A54-B568-5DF3376B0A1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AF68E3A1-82EF-44EB-BDB7-9F71B3E1566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FA29D1AC-6C7D-44BB-8AE8-B81263A5A2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986E1F61-5B4A-4779-BBD9-716503E9BCB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D2C01037-6692-4A0B-8889-4DC4AE5878C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85" name="TextBox 57">
              <a:extLst>
                <a:ext uri="{FF2B5EF4-FFF2-40B4-BE49-F238E27FC236}">
                  <a16:creationId xmlns:a16="http://schemas.microsoft.com/office/drawing/2014/main" id="{45C15052-E9A5-4A29-ABBB-7BC66A5305C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6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D5799933-5BE9-427B-BC78-4A207E9D9EA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E7269166-BD74-45A5-AC39-4D58AFF5514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55">
              <a:extLst>
                <a:ext uri="{FF2B5EF4-FFF2-40B4-BE49-F238E27FC236}">
                  <a16:creationId xmlns:a16="http://schemas.microsoft.com/office/drawing/2014/main" id="{58CC291B-E0FE-48F8-85AD-9FE92164E28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6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77C1087C-B131-4FA0-BFBF-966BF37EE59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AB3204E-6196-4E3A-B5CC-9C1D17E65A8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79375664-6CF1-4749-AFB2-250D081640C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27801470-D547-4D43-B1A9-E1EC6395B26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85103410-B2CE-4917-AF98-0AAAB2C258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3D35312B-EDC3-4582-A38D-8C538B6AC2A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1230CD84-7776-4949-900C-0F3B09CC83B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08A678EA-F12A-4470-A2ED-71BD3651D41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EF179D51-64FC-436F-B3D7-BBC10406267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1ABB7655-D247-41CD-B740-E24F6993B8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B1D40DF5-1138-41B9-83E5-E026FC119CF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8C57DF26-95DC-43FC-8994-E523B9FC760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1EAC5480-2A20-4098-B430-00A9E2568F8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6914BCE-597C-4E0E-9DFE-6027837CDC24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3D1F9EB9-8128-4037-BC32-01C860EDA10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58946337-4900-43CD-BDEF-C8C69ACA1456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35F2B468-B7D8-431F-A0C1-74EF8F85750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CD702929-88EF-41D0-B0F3-78C0A4304FD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7CAED516-EE76-4E9A-97F7-700914DB67C9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59CB8EE0-22C9-4393-94F5-01C632D35EC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DF49387A-E4CE-484C-86F7-B97CDFA65DD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775F4FD0-F247-4B3F-AD0A-E24594F75FA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C1EC8CD-94D7-4457-A0FD-8C87DCE6276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/>
            </a:p>
          </xdr:txBody>
        </xdr:sp>
      </xdr:grpSp>
    </xdr:grpSp>
    <xdr:clientData/>
  </xdr:twoCellAnchor>
  <xdr:twoCellAnchor>
    <xdr:from>
      <xdr:col>2</xdr:col>
      <xdr:colOff>459441</xdr:colOff>
      <xdr:row>33</xdr:row>
      <xdr:rowOff>74218</xdr:rowOff>
    </xdr:from>
    <xdr:to>
      <xdr:col>20</xdr:col>
      <xdr:colOff>268941</xdr:colOff>
      <xdr:row>33</xdr:row>
      <xdr:rowOff>89647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E2225625-2429-02B6-CE0E-690CAED7CCFE}"/>
            </a:ext>
          </a:extLst>
        </xdr:cNvPr>
        <xdr:cNvCxnSpPr/>
      </xdr:nvCxnSpPr>
      <xdr:spPr>
        <a:xfrm>
          <a:off x="661147" y="5240130"/>
          <a:ext cx="6779559" cy="1542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8314</xdr:colOff>
      <xdr:row>31</xdr:row>
      <xdr:rowOff>96848</xdr:rowOff>
    </xdr:from>
    <xdr:to>
      <xdr:col>19</xdr:col>
      <xdr:colOff>123076</xdr:colOff>
      <xdr:row>31</xdr:row>
      <xdr:rowOff>124191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E8C83A85-89E1-FD3D-8400-066D63D34188}"/>
            </a:ext>
          </a:extLst>
        </xdr:cNvPr>
        <xdr:cNvCxnSpPr>
          <a:stCxn id="222" idx="6"/>
          <a:endCxn id="48" idx="2"/>
        </xdr:cNvCxnSpPr>
      </xdr:nvCxnSpPr>
      <xdr:spPr>
        <a:xfrm>
          <a:off x="1465079" y="4948995"/>
          <a:ext cx="5448762" cy="2734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368802</xdr:colOff>
      <xdr:row>31</xdr:row>
      <xdr:rowOff>50107</xdr:rowOff>
    </xdr:from>
    <xdr:to>
      <xdr:col>14</xdr:col>
      <xdr:colOff>113808</xdr:colOff>
      <xdr:row>32</xdr:row>
      <xdr:rowOff>17761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C03138F2-FB5E-CCD3-C041-46AC7D9C4874}"/>
            </a:ext>
          </a:extLst>
        </xdr:cNvPr>
        <xdr:cNvGrpSpPr/>
      </xdr:nvGrpSpPr>
      <xdr:grpSpPr>
        <a:xfrm>
          <a:off x="4863411" y="4854279"/>
          <a:ext cx="126006" cy="1224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7" name="Oval 236">
            <a:extLst>
              <a:ext uri="{FF2B5EF4-FFF2-40B4-BE49-F238E27FC236}">
                <a16:creationId xmlns:a16="http://schemas.microsoft.com/office/drawing/2014/main" id="{D1270080-FF6C-8FFC-20F0-1EAB218FE8E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600"/>
          </a:p>
        </xdr:txBody>
      </xdr: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EC7D6A15-13E8-3A9D-F7EB-75CCEA0BC558}"/>
              </a:ext>
            </a:extLst>
          </xdr:cNvPr>
          <xdr:cNvCxnSpPr>
            <a:stCxn id="237" idx="1"/>
            <a:endCxn id="2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9FFF734B-03D5-2842-72C3-1FCDACA0A3AB}"/>
              </a:ext>
            </a:extLst>
          </xdr:cNvPr>
          <xdr:cNvCxnSpPr>
            <a:stCxn id="237" idx="3"/>
            <a:endCxn id="2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32633</xdr:colOff>
      <xdr:row>31</xdr:row>
      <xdr:rowOff>34771</xdr:rowOff>
    </xdr:from>
    <xdr:to>
      <xdr:col>11</xdr:col>
      <xdr:colOff>160158</xdr:colOff>
      <xdr:row>32</xdr:row>
      <xdr:rowOff>10140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FC85D15F-8B2D-9F60-5AA6-1E259958C5DB}"/>
            </a:ext>
          </a:extLst>
        </xdr:cNvPr>
        <xdr:cNvGrpSpPr/>
      </xdr:nvGrpSpPr>
      <xdr:grpSpPr>
        <a:xfrm>
          <a:off x="3765242" y="4838943"/>
          <a:ext cx="127525" cy="1301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4" name="Oval 233">
            <a:extLst>
              <a:ext uri="{FF2B5EF4-FFF2-40B4-BE49-F238E27FC236}">
                <a16:creationId xmlns:a16="http://schemas.microsoft.com/office/drawing/2014/main" id="{F8ADEFF6-57AA-0B1B-15A7-0ADDE6CFE41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600"/>
          </a:p>
        </xdr:txBody>
      </xdr: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58DAA61-D98B-04BF-2211-8C74827E08C8}"/>
              </a:ext>
            </a:extLst>
          </xdr:cNvPr>
          <xdr:cNvCxnSpPr>
            <a:stCxn id="234" idx="1"/>
            <a:endCxn id="2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1D80CA2B-0E43-5DF4-2188-E32353AF65E7}"/>
              </a:ext>
            </a:extLst>
          </xdr:cNvPr>
          <xdr:cNvCxnSpPr>
            <a:stCxn id="234" idx="3"/>
            <a:endCxn id="2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19481</xdr:colOff>
      <xdr:row>31</xdr:row>
      <xdr:rowOff>27629</xdr:rowOff>
    </xdr:from>
    <xdr:to>
      <xdr:col>8</xdr:col>
      <xdr:colOff>147683</xdr:colOff>
      <xdr:row>32</xdr:row>
      <xdr:rowOff>2998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F6FB41-8A45-00E3-57BE-94DA8BEBCB33}"/>
            </a:ext>
          </a:extLst>
        </xdr:cNvPr>
        <xdr:cNvGrpSpPr/>
      </xdr:nvGrpSpPr>
      <xdr:grpSpPr>
        <a:xfrm>
          <a:off x="2609090" y="4831801"/>
          <a:ext cx="128202" cy="1301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1" name="Oval 230">
            <a:extLst>
              <a:ext uri="{FF2B5EF4-FFF2-40B4-BE49-F238E27FC236}">
                <a16:creationId xmlns:a16="http://schemas.microsoft.com/office/drawing/2014/main" id="{86568D29-6409-E416-C3AC-52E2CC6A683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600"/>
          </a:p>
        </xdr:txBody>
      </xdr: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AB0A4713-3BF6-8F38-AEC1-FC6F5AD241A2}"/>
              </a:ext>
            </a:extLst>
          </xdr:cNvPr>
          <xdr:cNvCxnSpPr>
            <a:stCxn id="231" idx="1"/>
            <a:endCxn id="2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67478C69-6DDC-95CD-8160-6E135C80BD67}"/>
              </a:ext>
            </a:extLst>
          </xdr:cNvPr>
          <xdr:cNvCxnSpPr>
            <a:stCxn id="231" idx="3"/>
            <a:endCxn id="2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139872</xdr:colOff>
      <xdr:row>31</xdr:row>
      <xdr:rowOff>27056</xdr:rowOff>
    </xdr:from>
    <xdr:to>
      <xdr:col>6</xdr:col>
      <xdr:colOff>265878</xdr:colOff>
      <xdr:row>32</xdr:row>
      <xdr:rowOff>2425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3D15875-E904-9A15-4221-80227DA9D233}"/>
            </a:ext>
          </a:extLst>
        </xdr:cNvPr>
        <xdr:cNvGrpSpPr/>
      </xdr:nvGrpSpPr>
      <xdr:grpSpPr>
        <a:xfrm>
          <a:off x="1967481" y="4831228"/>
          <a:ext cx="126006" cy="1301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8" name="Oval 227">
            <a:extLst>
              <a:ext uri="{FF2B5EF4-FFF2-40B4-BE49-F238E27FC236}">
                <a16:creationId xmlns:a16="http://schemas.microsoft.com/office/drawing/2014/main" id="{B89668C4-349F-587E-4343-3C37CB57B56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600"/>
          </a:p>
        </xdr:txBody>
      </xdr: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F091F73C-7F18-2F97-F046-FCB9471A5EED}"/>
              </a:ext>
            </a:extLst>
          </xdr:cNvPr>
          <xdr:cNvCxnSpPr>
            <a:stCxn id="228" idx="1"/>
            <a:endCxn id="2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8A146856-3670-1519-E4BA-0CBFEB0EDE5A}"/>
              </a:ext>
            </a:extLst>
          </xdr:cNvPr>
          <xdr:cNvCxnSpPr>
            <a:stCxn id="228" idx="3"/>
            <a:endCxn id="2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293393</xdr:colOff>
      <xdr:row>31</xdr:row>
      <xdr:rowOff>51630</xdr:rowOff>
    </xdr:from>
    <xdr:to>
      <xdr:col>17</xdr:col>
      <xdr:colOff>38399</xdr:colOff>
      <xdr:row>32</xdr:row>
      <xdr:rowOff>17474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2805DF4D-6A05-5968-66D6-CAB715EA8800}"/>
            </a:ext>
          </a:extLst>
        </xdr:cNvPr>
        <xdr:cNvGrpSpPr/>
      </xdr:nvGrpSpPr>
      <xdr:grpSpPr>
        <a:xfrm>
          <a:off x="5931002" y="4855802"/>
          <a:ext cx="126006" cy="1206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5" name="Oval 224">
            <a:extLst>
              <a:ext uri="{FF2B5EF4-FFF2-40B4-BE49-F238E27FC236}">
                <a16:creationId xmlns:a16="http://schemas.microsoft.com/office/drawing/2014/main" id="{04BF8C0E-D1A7-840D-FD87-E978EF6C5E8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600"/>
          </a:p>
        </xdr:txBody>
      </xdr: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3F4060B9-B890-384F-195F-4C26A076D407}"/>
              </a:ext>
            </a:extLst>
          </xdr:cNvPr>
          <xdr:cNvCxnSpPr>
            <a:stCxn id="225" idx="1"/>
            <a:endCxn id="22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B81C087F-9522-D150-E7CE-BE25388AD486}"/>
              </a:ext>
            </a:extLst>
          </xdr:cNvPr>
          <xdr:cNvCxnSpPr>
            <a:stCxn id="225" idx="3"/>
            <a:endCxn id="22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263308</xdr:colOff>
      <xdr:row>31</xdr:row>
      <xdr:rowOff>26865</xdr:rowOff>
    </xdr:from>
    <xdr:to>
      <xdr:col>5</xdr:col>
      <xdr:colOff>8314</xdr:colOff>
      <xdr:row>32</xdr:row>
      <xdr:rowOff>2234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C70B44A3-AB54-0BF3-FAA8-865569C1FFC7}"/>
            </a:ext>
          </a:extLst>
        </xdr:cNvPr>
        <xdr:cNvGrpSpPr/>
      </xdr:nvGrpSpPr>
      <xdr:grpSpPr>
        <a:xfrm>
          <a:off x="1328917" y="4831037"/>
          <a:ext cx="126006" cy="1301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2" name="Oval 221">
            <a:extLst>
              <a:ext uri="{FF2B5EF4-FFF2-40B4-BE49-F238E27FC236}">
                <a16:creationId xmlns:a16="http://schemas.microsoft.com/office/drawing/2014/main" id="{2135594D-2007-2757-1EC2-CBC847D61D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600"/>
          </a:p>
        </xdr:txBody>
      </xdr: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C8CADCEA-19A6-EFD5-83CB-62C36878399D}"/>
              </a:ext>
            </a:extLst>
          </xdr:cNvPr>
          <xdr:cNvCxnSpPr>
            <a:stCxn id="222" idx="1"/>
            <a:endCxn id="2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CD361B4F-F1E4-6891-7DF7-A1DA7860D448}"/>
              </a:ext>
            </a:extLst>
          </xdr:cNvPr>
          <xdr:cNvCxnSpPr>
            <a:stCxn id="222" idx="3"/>
            <a:endCxn id="2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82484</xdr:colOff>
      <xdr:row>31</xdr:row>
      <xdr:rowOff>27630</xdr:rowOff>
    </xdr:from>
    <xdr:to>
      <xdr:col>20</xdr:col>
      <xdr:colOff>184580</xdr:colOff>
      <xdr:row>31</xdr:row>
      <xdr:rowOff>63022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4F724F07-3F6E-D339-E3A4-801D2A62E43E}"/>
            </a:ext>
          </a:extLst>
        </xdr:cNvPr>
        <xdr:cNvCxnSpPr>
          <a:stCxn id="231" idx="0"/>
        </xdr:cNvCxnSpPr>
      </xdr:nvCxnSpPr>
      <xdr:spPr>
        <a:xfrm rot="16200000" flipH="1">
          <a:off x="5001601" y="2560425"/>
          <a:ext cx="35392" cy="467409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326312</xdr:colOff>
      <xdr:row>32</xdr:row>
      <xdr:rowOff>2233</xdr:rowOff>
    </xdr:from>
    <xdr:to>
      <xdr:col>19</xdr:col>
      <xdr:colOff>186079</xdr:colOff>
      <xdr:row>32</xdr:row>
      <xdr:rowOff>28672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52BA6693-32AD-C676-6DBA-86EE0BD21175}"/>
            </a:ext>
          </a:extLst>
        </xdr:cNvPr>
        <xdr:cNvCxnSpPr>
          <a:stCxn id="222" idx="4"/>
          <a:endCxn id="48" idx="4"/>
        </xdr:cNvCxnSpPr>
      </xdr:nvCxnSpPr>
      <xdr:spPr>
        <a:xfrm rot="16200000" flipH="1">
          <a:off x="4176241" y="2237098"/>
          <a:ext cx="26439" cy="557476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149785</xdr:colOff>
      <xdr:row>30</xdr:row>
      <xdr:rowOff>154626</xdr:rowOff>
    </xdr:from>
    <xdr:to>
      <xdr:col>15</xdr:col>
      <xdr:colOff>226037</xdr:colOff>
      <xdr:row>31</xdr:row>
      <xdr:rowOff>85688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AF4A53B0-6BBD-0AE2-3ADD-7114A0927C68}"/>
            </a:ext>
          </a:extLst>
        </xdr:cNvPr>
        <xdr:cNvGrpSpPr/>
      </xdr:nvGrpSpPr>
      <xdr:grpSpPr>
        <a:xfrm rot="18475278" flipV="1">
          <a:off x="5401598" y="4808813"/>
          <a:ext cx="85843" cy="76252"/>
          <a:chOff x="4078687" y="2936713"/>
          <a:chExt cx="79159" cy="99180"/>
        </a:xfrm>
      </xdr:grpSpPr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12D1CB78-90CF-2E2B-E861-592F5414D447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2A5FEC83-01B9-F9F5-1CB2-C78DDCEE2B32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E6246A9A-5F66-07B8-BFBD-DD5A21891EDD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131709</xdr:colOff>
      <xdr:row>31</xdr:row>
      <xdr:rowOff>9030</xdr:rowOff>
    </xdr:from>
    <xdr:to>
      <xdr:col>18</xdr:col>
      <xdr:colOff>207961</xdr:colOff>
      <xdr:row>31</xdr:row>
      <xdr:rowOff>96974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2263E772-E120-3413-B9C3-F28D0DC4E4A6}"/>
            </a:ext>
          </a:extLst>
        </xdr:cNvPr>
        <xdr:cNvGrpSpPr/>
      </xdr:nvGrpSpPr>
      <xdr:grpSpPr>
        <a:xfrm rot="18475278" flipV="1">
          <a:off x="6525472" y="4819048"/>
          <a:ext cx="87944" cy="76252"/>
          <a:chOff x="4078687" y="2936713"/>
          <a:chExt cx="79159" cy="99180"/>
        </a:xfrm>
      </xdr:grpSpPr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D1C28DBA-2A55-7311-FE1D-8E76B4EF9CF3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925246BC-CF74-9D93-A799-53ADBE301259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DCCFD1D4-9366-DFC7-E47B-D9ECCA4EAE32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229456</xdr:colOff>
      <xdr:row>30</xdr:row>
      <xdr:rowOff>150577</xdr:rowOff>
    </xdr:from>
    <xdr:to>
      <xdr:col>12</xdr:col>
      <xdr:colOff>305708</xdr:colOff>
      <xdr:row>31</xdr:row>
      <xdr:rowOff>81639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3663B258-178B-A56D-7DCC-5713BE55ABE9}"/>
            </a:ext>
          </a:extLst>
        </xdr:cNvPr>
        <xdr:cNvGrpSpPr/>
      </xdr:nvGrpSpPr>
      <xdr:grpSpPr>
        <a:xfrm rot="18475278" flipV="1">
          <a:off x="4338269" y="4804764"/>
          <a:ext cx="85843" cy="76252"/>
          <a:chOff x="4078687" y="2936713"/>
          <a:chExt cx="79159" cy="99180"/>
        </a:xfrm>
      </xdr:grpSpPr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C2D62E29-D7B9-75F3-C0FA-777248F36118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3FF312D0-6E52-7ACF-B9F2-8127BD49AD5A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56B59770-ABC1-E3A5-A901-05D0D5724A7E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303752</xdr:colOff>
      <xdr:row>30</xdr:row>
      <xdr:rowOff>146720</xdr:rowOff>
    </xdr:from>
    <xdr:to>
      <xdr:col>9</xdr:col>
      <xdr:colOff>380004</xdr:colOff>
      <xdr:row>31</xdr:row>
      <xdr:rowOff>77782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D8DBE52C-E51C-3929-EFAE-0EF4C06A14EB}"/>
            </a:ext>
          </a:extLst>
        </xdr:cNvPr>
        <xdr:cNvGrpSpPr/>
      </xdr:nvGrpSpPr>
      <xdr:grpSpPr>
        <a:xfrm rot="18475278" flipV="1">
          <a:off x="3269565" y="4800907"/>
          <a:ext cx="85843" cy="76252"/>
          <a:chOff x="4078687" y="2936713"/>
          <a:chExt cx="79159" cy="99180"/>
        </a:xfrm>
      </xdr:grpSpPr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4827A56C-BB37-9D26-4197-E74E9545B163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9E2610BC-743E-303C-8357-92442F094069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5ECBBE47-5027-4F44-529D-2A8855B07F28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221744</xdr:colOff>
      <xdr:row>31</xdr:row>
      <xdr:rowOff>77051</xdr:rowOff>
    </xdr:from>
    <xdr:to>
      <xdr:col>12</xdr:col>
      <xdr:colOff>286866</xdr:colOff>
      <xdr:row>32</xdr:row>
      <xdr:rowOff>11685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6EE93E82-0991-4C62-24BB-C4909C47E9C0}"/>
            </a:ext>
          </a:extLst>
        </xdr:cNvPr>
        <xdr:cNvGrpSpPr/>
      </xdr:nvGrpSpPr>
      <xdr:grpSpPr>
        <a:xfrm rot="5125799">
          <a:off x="4323206" y="4893370"/>
          <a:ext cx="89415" cy="65122"/>
          <a:chOff x="4073585" y="2936713"/>
          <a:chExt cx="84261" cy="124522"/>
        </a:xfrm>
      </xdr:grpSpPr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083D4224-4B1E-E300-296B-35E488FDD9D0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213260D9-7BEB-15C4-2CCA-5B291DA83F6B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F89EE489-93D0-ECCC-632A-B074552A032E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A9AB0C37-BAC2-92C6-9338-AC334FFE6ED0}"/>
              </a:ext>
            </a:extLst>
          </xdr:cNvPr>
          <xdr:cNvCxnSpPr/>
        </xdr:nvCxnSpPr>
        <xdr:spPr>
          <a:xfrm flipH="1" flipV="1">
            <a:off x="4073585" y="3017300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147727</xdr:colOff>
      <xdr:row>31</xdr:row>
      <xdr:rowOff>80909</xdr:rowOff>
    </xdr:from>
    <xdr:to>
      <xdr:col>15</xdr:col>
      <xdr:colOff>212849</xdr:colOff>
      <xdr:row>32</xdr:row>
      <xdr:rowOff>15543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DAAC4CA0-E669-09F6-2517-23C10C3A4FF3}"/>
            </a:ext>
          </a:extLst>
        </xdr:cNvPr>
        <xdr:cNvGrpSpPr/>
      </xdr:nvGrpSpPr>
      <xdr:grpSpPr>
        <a:xfrm rot="5125799">
          <a:off x="5392189" y="4897228"/>
          <a:ext cx="89415" cy="65122"/>
          <a:chOff x="4073585" y="2936713"/>
          <a:chExt cx="84261" cy="124522"/>
        </a:xfrm>
      </xdr:grpSpPr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9D44E215-D507-E93C-DE23-4EA9BE5D9C14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4B5A9F56-98D5-1DEF-35E9-741E15A9F085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8FCCEB00-8FC8-5FDC-196F-A983B73B6361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FC4D379A-0AC9-644C-948A-E3322F6CC79D}"/>
              </a:ext>
            </a:extLst>
          </xdr:cNvPr>
          <xdr:cNvCxnSpPr/>
        </xdr:nvCxnSpPr>
        <xdr:spPr>
          <a:xfrm flipH="1" flipV="1">
            <a:off x="4073585" y="3017300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127515</xdr:colOff>
      <xdr:row>31</xdr:row>
      <xdr:rowOff>84765</xdr:rowOff>
    </xdr:from>
    <xdr:to>
      <xdr:col>18</xdr:col>
      <xdr:colOff>192637</xdr:colOff>
      <xdr:row>32</xdr:row>
      <xdr:rowOff>19399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5CFE80A1-F0C3-E8C2-2DC4-219145E3C966}"/>
            </a:ext>
          </a:extLst>
        </xdr:cNvPr>
        <xdr:cNvGrpSpPr/>
      </xdr:nvGrpSpPr>
      <xdr:grpSpPr>
        <a:xfrm rot="5125799">
          <a:off x="6514977" y="4901084"/>
          <a:ext cx="89415" cy="65122"/>
          <a:chOff x="4073585" y="2936713"/>
          <a:chExt cx="84261" cy="124522"/>
        </a:xfrm>
      </xdr:grpSpPr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E7B947C6-568A-AD6B-2ADF-861AA8BDE395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9DB3321C-E611-0418-B6D0-6311E0CE1254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50CAB9FE-0E25-9507-E7E6-BBFBCFF2A560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94A3D9E5-F629-C8AE-6835-3B1E28692C64}"/>
              </a:ext>
            </a:extLst>
          </xdr:cNvPr>
          <xdr:cNvCxnSpPr/>
        </xdr:nvCxnSpPr>
        <xdr:spPr>
          <a:xfrm flipH="1" flipV="1">
            <a:off x="4073585" y="3017300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291918</xdr:colOff>
      <xdr:row>31</xdr:row>
      <xdr:rowOff>73194</xdr:rowOff>
    </xdr:from>
    <xdr:to>
      <xdr:col>9</xdr:col>
      <xdr:colOff>357040</xdr:colOff>
      <xdr:row>32</xdr:row>
      <xdr:rowOff>7828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51C259B1-6489-9FE3-A25E-789010EC3482}"/>
            </a:ext>
          </a:extLst>
        </xdr:cNvPr>
        <xdr:cNvGrpSpPr/>
      </xdr:nvGrpSpPr>
      <xdr:grpSpPr>
        <a:xfrm rot="5125799">
          <a:off x="3250380" y="4889513"/>
          <a:ext cx="89415" cy="65122"/>
          <a:chOff x="4073585" y="2936713"/>
          <a:chExt cx="84261" cy="124522"/>
        </a:xfrm>
      </xdr:grpSpPr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76EE8F9-2C86-E543-CDAC-FE57A4BAA909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2EF702EC-09BD-1609-8B50-6DC5B6FCEB29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FB5DBC33-C037-BFCD-0EE9-A10D92847E2B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51C16220-4E31-9F1F-8CE2-B0D2D2FF2417}"/>
              </a:ext>
            </a:extLst>
          </xdr:cNvPr>
          <xdr:cNvCxnSpPr/>
        </xdr:nvCxnSpPr>
        <xdr:spPr>
          <a:xfrm flipH="1" flipV="1">
            <a:off x="4073585" y="3017300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242917</xdr:colOff>
      <xdr:row>31</xdr:row>
      <xdr:rowOff>53905</xdr:rowOff>
    </xdr:from>
    <xdr:to>
      <xdr:col>5</xdr:col>
      <xdr:colOff>310235</xdr:colOff>
      <xdr:row>31</xdr:row>
      <xdr:rowOff>145421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D83C20FB-0A81-CFB7-CF39-B3F865C80816}"/>
            </a:ext>
          </a:extLst>
        </xdr:cNvPr>
        <xdr:cNvGrpSpPr/>
      </xdr:nvGrpSpPr>
      <xdr:grpSpPr>
        <a:xfrm rot="5125799">
          <a:off x="1677427" y="4870176"/>
          <a:ext cx="91516" cy="67318"/>
          <a:chOff x="4073585" y="2936713"/>
          <a:chExt cx="84261" cy="124522"/>
        </a:xfrm>
      </xdr:grpSpPr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CAE07CBE-CC4D-1148-B90A-63B57D845C52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B71BFD02-1E04-E815-5220-147F43A89A40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DA38ED1F-ACF8-30FC-1C19-33DC24763654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27E1B596-36D5-C6B2-F9EC-4535FCAD9156}"/>
              </a:ext>
            </a:extLst>
          </xdr:cNvPr>
          <xdr:cNvCxnSpPr/>
        </xdr:nvCxnSpPr>
        <xdr:spPr>
          <a:xfrm flipH="1" flipV="1">
            <a:off x="4073585" y="3017300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119456</xdr:colOff>
      <xdr:row>31</xdr:row>
      <xdr:rowOff>65480</xdr:rowOff>
    </xdr:from>
    <xdr:to>
      <xdr:col>7</xdr:col>
      <xdr:colOff>184578</xdr:colOff>
      <xdr:row>32</xdr:row>
      <xdr:rowOff>114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3E60CED-1308-6138-AAAE-5AC923893C64}"/>
            </a:ext>
          </a:extLst>
        </xdr:cNvPr>
        <xdr:cNvGrpSpPr/>
      </xdr:nvGrpSpPr>
      <xdr:grpSpPr>
        <a:xfrm rot="5125799">
          <a:off x="2315918" y="4881799"/>
          <a:ext cx="89415" cy="65122"/>
          <a:chOff x="4073585" y="2936713"/>
          <a:chExt cx="84261" cy="124522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361931B4-B2A2-1257-8B40-28D2BCE2F75C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94E30910-D676-0BBC-264F-714CC589BB1D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18BA766D-60DF-2A4E-B8D2-E486E8D8056B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CCCF3CE9-C355-7F87-F4DE-B20DC4DD48FB}"/>
              </a:ext>
            </a:extLst>
          </xdr:cNvPr>
          <xdr:cNvCxnSpPr/>
        </xdr:nvCxnSpPr>
        <xdr:spPr>
          <a:xfrm flipH="1" flipV="1">
            <a:off x="4073585" y="3017300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123075</xdr:colOff>
      <xdr:row>31</xdr:row>
      <xdr:rowOff>62828</xdr:rowOff>
    </xdr:from>
    <xdr:to>
      <xdr:col>19</xdr:col>
      <xdr:colOff>249081</xdr:colOff>
      <xdr:row>32</xdr:row>
      <xdr:rowOff>28672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B81D1AB7-80B7-0F2C-2A26-C640245B0E80}"/>
            </a:ext>
          </a:extLst>
        </xdr:cNvPr>
        <xdr:cNvGrpSpPr/>
      </xdr:nvGrpSpPr>
      <xdr:grpSpPr>
        <a:xfrm>
          <a:off x="6903684" y="4867000"/>
          <a:ext cx="126006" cy="1206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B652D824-C300-16C4-420B-95A1EC6775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600"/>
          </a:p>
        </xdr:txBody>
      </xdr: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8C1EA997-F7C9-3DD4-AABD-E4125C02969B}"/>
              </a:ext>
            </a:extLst>
          </xdr:cNvPr>
          <xdr:cNvCxnSpPr>
            <a:stCxn id="48" idx="1"/>
            <a:endCxn id="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E620A6E6-5E0C-2BF2-B7C4-86F54993382E}"/>
              </a:ext>
            </a:extLst>
          </xdr:cNvPr>
          <xdr:cNvCxnSpPr>
            <a:stCxn id="48" idx="3"/>
            <a:endCxn id="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84401</xdr:colOff>
      <xdr:row>20</xdr:row>
      <xdr:rowOff>78441</xdr:rowOff>
    </xdr:from>
    <xdr:to>
      <xdr:col>5</xdr:col>
      <xdr:colOff>201633</xdr:colOff>
      <xdr:row>25</xdr:row>
      <xdr:rowOff>113771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37DD81-74C7-7F96-6C97-E0B6DB476CED}"/>
            </a:ext>
          </a:extLst>
        </xdr:cNvPr>
        <xdr:cNvSpPr/>
      </xdr:nvSpPr>
      <xdr:spPr>
        <a:xfrm>
          <a:off x="1160166" y="3216088"/>
          <a:ext cx="498232" cy="819742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>
              <a:solidFill>
                <a:srgbClr val="FF0000"/>
              </a:solidFill>
            </a:rPr>
            <a:t>KLINIK</a:t>
          </a:r>
        </a:p>
      </xdr:txBody>
    </xdr:sp>
    <xdr:clientData/>
  </xdr:twoCellAnchor>
  <xdr:twoCellAnchor>
    <xdr:from>
      <xdr:col>19</xdr:col>
      <xdr:colOff>86815</xdr:colOff>
      <xdr:row>30</xdr:row>
      <xdr:rowOff>11608</xdr:rowOff>
    </xdr:from>
    <xdr:to>
      <xdr:col>19</xdr:col>
      <xdr:colOff>294223</xdr:colOff>
      <xdr:row>31</xdr:row>
      <xdr:rowOff>32430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52564479-121D-8D7F-8CF4-FFDB1106BF29}"/>
            </a:ext>
          </a:extLst>
        </xdr:cNvPr>
        <xdr:cNvSpPr/>
      </xdr:nvSpPr>
      <xdr:spPr>
        <a:xfrm>
          <a:off x="6877580" y="4706873"/>
          <a:ext cx="207408" cy="177704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600"/>
        </a:p>
      </xdr:txBody>
    </xdr:sp>
    <xdr:clientData/>
  </xdr:twoCellAnchor>
  <xdr:twoCellAnchor>
    <xdr:from>
      <xdr:col>19</xdr:col>
      <xdr:colOff>307388</xdr:colOff>
      <xdr:row>26</xdr:row>
      <xdr:rowOff>21284</xdr:rowOff>
    </xdr:from>
    <xdr:to>
      <xdr:col>21</xdr:col>
      <xdr:colOff>31837</xdr:colOff>
      <xdr:row>30</xdr:row>
      <xdr:rowOff>65081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FB368D6-4509-6838-CEAF-8A25A7EA033C}"/>
            </a:ext>
          </a:extLst>
        </xdr:cNvPr>
        <xdr:cNvSpPr/>
      </xdr:nvSpPr>
      <xdr:spPr>
        <a:xfrm>
          <a:off x="7087997" y="4063456"/>
          <a:ext cx="486449" cy="65101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</a:t>
          </a:r>
          <a:r>
            <a:rPr lang="en-US" sz="600" baseline="0">
              <a:solidFill>
                <a:schemeClr val="tx1"/>
              </a:solidFill>
            </a:rPr>
            <a:t> CC1-A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CG312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CJ6-T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M8-01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13</xdr:col>
      <xdr:colOff>176825</xdr:colOff>
      <xdr:row>27</xdr:row>
      <xdr:rowOff>143434</xdr:rowOff>
    </xdr:from>
    <xdr:to>
      <xdr:col>14</xdr:col>
      <xdr:colOff>282274</xdr:colOff>
      <xdr:row>30</xdr:row>
      <xdr:rowOff>154584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F59965AB-50A1-74D6-9E91-F9BCE407E657}"/>
            </a:ext>
          </a:extLst>
        </xdr:cNvPr>
        <xdr:cNvSpPr/>
      </xdr:nvSpPr>
      <xdr:spPr>
        <a:xfrm>
          <a:off x="4671434" y="4340387"/>
          <a:ext cx="486449" cy="46358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</a:t>
          </a:r>
          <a:r>
            <a:rPr lang="en-US" sz="600" baseline="0">
              <a:solidFill>
                <a:schemeClr val="tx1"/>
              </a:solidFill>
            </a:rPr>
            <a:t> CC1-A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10</xdr:col>
      <xdr:colOff>229794</xdr:colOff>
      <xdr:row>27</xdr:row>
      <xdr:rowOff>136922</xdr:rowOff>
    </xdr:from>
    <xdr:to>
      <xdr:col>11</xdr:col>
      <xdr:colOff>345282</xdr:colOff>
      <xdr:row>31</xdr:row>
      <xdr:rowOff>16729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202691E6-E5B0-8EB9-EA68-74959192956C}"/>
            </a:ext>
          </a:extLst>
        </xdr:cNvPr>
        <xdr:cNvSpPr/>
      </xdr:nvSpPr>
      <xdr:spPr>
        <a:xfrm>
          <a:off x="3581403" y="4333875"/>
          <a:ext cx="496488" cy="48702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</a:t>
          </a:r>
          <a:r>
            <a:rPr lang="en-US" sz="600" baseline="0">
              <a:solidFill>
                <a:schemeClr val="tx1"/>
              </a:solidFill>
            </a:rPr>
            <a:t> CC1-A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7</xdr:col>
      <xdr:colOff>316601</xdr:colOff>
      <xdr:row>27</xdr:row>
      <xdr:rowOff>142875</xdr:rowOff>
    </xdr:from>
    <xdr:to>
      <xdr:col>9</xdr:col>
      <xdr:colOff>41672</xdr:colOff>
      <xdr:row>30</xdr:row>
      <xdr:rowOff>148965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74735A11-A8ED-C599-0199-EC2527A8E444}"/>
            </a:ext>
          </a:extLst>
        </xdr:cNvPr>
        <xdr:cNvSpPr/>
      </xdr:nvSpPr>
      <xdr:spPr>
        <a:xfrm>
          <a:off x="2525210" y="4339828"/>
          <a:ext cx="487071" cy="45852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</a:t>
          </a:r>
          <a:r>
            <a:rPr lang="en-US" sz="600" baseline="0">
              <a:solidFill>
                <a:schemeClr val="tx1"/>
              </a:solidFill>
            </a:rPr>
            <a:t> CC1-A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5</xdr:col>
      <xdr:colOff>271042</xdr:colOff>
      <xdr:row>27</xdr:row>
      <xdr:rowOff>134121</xdr:rowOff>
    </xdr:from>
    <xdr:to>
      <xdr:col>6</xdr:col>
      <xdr:colOff>375047</xdr:colOff>
      <xdr:row>30</xdr:row>
      <xdr:rowOff>136923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B917438-0A6F-C3B6-AD60-E8B437CD4C06}"/>
            </a:ext>
          </a:extLst>
        </xdr:cNvPr>
        <xdr:cNvSpPr/>
      </xdr:nvSpPr>
      <xdr:spPr>
        <a:xfrm>
          <a:off x="1717651" y="4331074"/>
          <a:ext cx="485005" cy="4552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</a:t>
          </a:r>
          <a:r>
            <a:rPr lang="en-US" sz="600" baseline="0">
              <a:solidFill>
                <a:schemeClr val="tx1"/>
              </a:solidFill>
            </a:rPr>
            <a:t> CC1-A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3</xdr:col>
      <xdr:colOff>101203</xdr:colOff>
      <xdr:row>28</xdr:row>
      <xdr:rowOff>65485</xdr:rowOff>
    </xdr:from>
    <xdr:to>
      <xdr:col>4</xdr:col>
      <xdr:colOff>208360</xdr:colOff>
      <xdr:row>32</xdr:row>
      <xdr:rowOff>6934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DE10F62-C592-578B-55FF-3CF22E229D32}"/>
            </a:ext>
          </a:extLst>
        </xdr:cNvPr>
        <xdr:cNvSpPr/>
      </xdr:nvSpPr>
      <xdr:spPr>
        <a:xfrm>
          <a:off x="785812" y="4417219"/>
          <a:ext cx="488157" cy="54866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</a:t>
          </a:r>
          <a:r>
            <a:rPr lang="en-US" sz="600" baseline="0">
              <a:solidFill>
                <a:schemeClr val="tx1"/>
              </a:solidFill>
            </a:rPr>
            <a:t> CC1-A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MJ6-T</a:t>
          </a:r>
        </a:p>
      </xdr:txBody>
    </xdr:sp>
    <xdr:clientData/>
  </xdr:twoCellAnchor>
  <xdr:twoCellAnchor>
    <xdr:from>
      <xdr:col>4</xdr:col>
      <xdr:colOff>247461</xdr:colOff>
      <xdr:row>25</xdr:row>
      <xdr:rowOff>135728</xdr:rowOff>
    </xdr:from>
    <xdr:to>
      <xdr:col>4</xdr:col>
      <xdr:colOff>359634</xdr:colOff>
      <xdr:row>26</xdr:row>
      <xdr:rowOff>90031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EC5DCAE1-666C-06E3-233C-4C171B816E48}"/>
            </a:ext>
          </a:extLst>
        </xdr:cNvPr>
        <xdr:cNvSpPr txBox="1"/>
      </xdr:nvSpPr>
      <xdr:spPr>
        <a:xfrm rot="5400000">
          <a:off x="1323720" y="4057293"/>
          <a:ext cx="111185" cy="112173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6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305576</xdr:colOff>
      <xdr:row>26</xdr:row>
      <xdr:rowOff>90026</xdr:rowOff>
    </xdr:from>
    <xdr:to>
      <xdr:col>4</xdr:col>
      <xdr:colOff>326312</xdr:colOff>
      <xdr:row>31</xdr:row>
      <xdr:rowOff>26863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BEF27208-9D69-7823-79A5-DF7250DA4B69}"/>
            </a:ext>
          </a:extLst>
        </xdr:cNvPr>
        <xdr:cNvCxnSpPr>
          <a:endCxn id="222" idx="0"/>
        </xdr:cNvCxnSpPr>
      </xdr:nvCxnSpPr>
      <xdr:spPr>
        <a:xfrm rot="16200000" flipH="1">
          <a:off x="1036687" y="4513621"/>
          <a:ext cx="710043" cy="2073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116833</xdr:colOff>
      <xdr:row>27</xdr:row>
      <xdr:rowOff>135399</xdr:rowOff>
    </xdr:from>
    <xdr:to>
      <xdr:col>17</xdr:col>
      <xdr:colOff>222281</xdr:colOff>
      <xdr:row>30</xdr:row>
      <xdr:rowOff>146549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B2C68B8B-C597-7E5A-A42C-5DD637424C2C}"/>
            </a:ext>
          </a:extLst>
        </xdr:cNvPr>
        <xdr:cNvSpPr/>
      </xdr:nvSpPr>
      <xdr:spPr>
        <a:xfrm>
          <a:off x="5754442" y="4332352"/>
          <a:ext cx="486448" cy="46358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</a:t>
          </a:r>
          <a:r>
            <a:rPr lang="en-US" sz="600" baseline="0">
              <a:solidFill>
                <a:schemeClr val="tx1"/>
              </a:solidFill>
            </a:rPr>
            <a:t> CC1-A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4</xdr:col>
      <xdr:colOff>278541</xdr:colOff>
      <xdr:row>25</xdr:row>
      <xdr:rowOff>106180</xdr:rowOff>
    </xdr:from>
    <xdr:to>
      <xdr:col>5</xdr:col>
      <xdr:colOff>280146</xdr:colOff>
      <xdr:row>26</xdr:row>
      <xdr:rowOff>134471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9991433-33C2-508D-8F05-71FBD70EEF4F}"/>
            </a:ext>
          </a:extLst>
        </xdr:cNvPr>
        <xdr:cNvSpPr txBox="1"/>
      </xdr:nvSpPr>
      <xdr:spPr>
        <a:xfrm>
          <a:off x="1354306" y="4028239"/>
          <a:ext cx="382605" cy="185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27</xdr:col>
      <xdr:colOff>125016</xdr:colOff>
      <xdr:row>50</xdr:row>
      <xdr:rowOff>238125</xdr:rowOff>
    </xdr:from>
    <xdr:to>
      <xdr:col>27</xdr:col>
      <xdr:colOff>201216</xdr:colOff>
      <xdr:row>51</xdr:row>
      <xdr:rowOff>146189</xdr:rowOff>
    </xdr:to>
    <xdr:sp macro="" textlink="">
      <xdr:nvSpPr>
        <xdr:cNvPr id="198" name="Freeform: Shape 197">
          <a:extLst>
            <a:ext uri="{FF2B5EF4-FFF2-40B4-BE49-F238E27FC236}">
              <a16:creationId xmlns:a16="http://schemas.microsoft.com/office/drawing/2014/main" id="{84830CEC-DAE4-4183-94A8-BB388EE22FF1}"/>
            </a:ext>
          </a:extLst>
        </xdr:cNvPr>
        <xdr:cNvSpPr/>
      </xdr:nvSpPr>
      <xdr:spPr>
        <a:xfrm>
          <a:off x="10048875" y="8001000"/>
          <a:ext cx="76200" cy="158095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315516</xdr:colOff>
      <xdr:row>51</xdr:row>
      <xdr:rowOff>125016</xdr:rowOff>
    </xdr:from>
    <xdr:to>
      <xdr:col>27</xdr:col>
      <xdr:colOff>372666</xdr:colOff>
      <xdr:row>53</xdr:row>
      <xdr:rowOff>9783</xdr:rowOff>
    </xdr:to>
    <xdr:sp macro="" textlink="">
      <xdr:nvSpPr>
        <xdr:cNvPr id="206" name="Freeform: Shape 205">
          <a:extLst>
            <a:ext uri="{FF2B5EF4-FFF2-40B4-BE49-F238E27FC236}">
              <a16:creationId xmlns:a16="http://schemas.microsoft.com/office/drawing/2014/main" id="{146D56A8-7515-40E1-AA6D-CCE10E15669D}"/>
            </a:ext>
          </a:extLst>
        </xdr:cNvPr>
        <xdr:cNvSpPr/>
      </xdr:nvSpPr>
      <xdr:spPr>
        <a:xfrm>
          <a:off x="10239375" y="8137922"/>
          <a:ext cx="57150" cy="194330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1" t="s">
        <v>1134</v>
      </c>
      <c r="C4" s="511"/>
      <c r="D4" s="511"/>
      <c r="E4" s="511"/>
      <c r="F4" s="511"/>
      <c r="G4" s="511"/>
      <c r="H4" s="51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2" t="s">
        <v>0</v>
      </c>
      <c r="C7" s="512" t="s">
        <v>1</v>
      </c>
      <c r="D7" s="513" t="s">
        <v>42</v>
      </c>
      <c r="E7" s="513" t="s">
        <v>43</v>
      </c>
      <c r="F7" s="513" t="s">
        <v>1135</v>
      </c>
      <c r="G7" s="514" t="s">
        <v>41</v>
      </c>
      <c r="H7" s="510" t="s">
        <v>1042</v>
      </c>
      <c r="I7" s="510" t="s">
        <v>1137</v>
      </c>
      <c r="J7" s="510" t="s">
        <v>1026</v>
      </c>
      <c r="K7" s="504" t="s">
        <v>1024</v>
      </c>
      <c r="L7" s="505"/>
    </row>
    <row r="8" spans="1:12" ht="15" customHeight="1">
      <c r="B8" s="512"/>
      <c r="C8" s="512"/>
      <c r="D8" s="513"/>
      <c r="E8" s="513"/>
      <c r="F8" s="513"/>
      <c r="G8" s="514"/>
      <c r="H8" s="510"/>
      <c r="I8" s="510"/>
      <c r="J8" s="510"/>
      <c r="K8" s="506"/>
      <c r="L8" s="507"/>
    </row>
    <row r="9" spans="1:12" ht="15" customHeight="1">
      <c r="B9" s="512"/>
      <c r="C9" s="512"/>
      <c r="D9" s="513"/>
      <c r="E9" s="513"/>
      <c r="F9" s="513"/>
      <c r="G9" s="514"/>
      <c r="H9" s="510"/>
      <c r="I9" s="510"/>
      <c r="J9" s="510"/>
      <c r="K9" s="508"/>
      <c r="L9" s="50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10.6 kVA MCCB 16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NFA2X-T 3x70+1x70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Mtr</v>
      </c>
      <c r="F13" s="138">
        <f t="shared" ref="F13:F76" ca="1" si="2">IF(ISERROR(OFFSET($D$713,MATCH(A13,$F$714:$F$1320,0),0)),"",OFFSET($D$713,MATCH(A13,$F$714:$F$1320,0),0))</f>
        <v>300</v>
      </c>
      <c r="G13" s="41">
        <f ca="1">IF(ISERROR(OFFSET('HARGA SATUAN'!$I$6,MATCH(C13,'HARGA SATUAN'!$C$7:$C$1492,0),0)),"",OFFSET('HARGA SATUAN'!$I$6,MATCH(C13,'HARGA SATUAN'!$C$7:$C$1492,0),0))</f>
        <v>54500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35</v>
      </c>
      <c r="G14" s="41">
        <f ca="1">IF(ISERROR(OFFSET('HARGA SATUAN'!$I$6,MATCH(C14,'HARGA SATUAN'!$C$7:$C$1492,0),0)),"",OFFSET('HARGA SATUAN'!$I$6,MATCH(C14,'HARGA SATUAN'!$C$7:$C$1492,0),0))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KWH MPB; 3P; 4W; 230/400 V; 5(80) A; Class 1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1719200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SUMIFS(RAB!$F$14:$F$76,RAB!$C$14:$C$76,C714)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SUMIFS(RAB!$F$14:$F$76,RAB!$C$14:$C$76,C715)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SUMIFS(RAB!$F$14:$F$76,RAB!$C$14:$C$76,C716)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SUMIFS(RAB!$F$14:$F$76,RAB!$C$14:$C$76,C717)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SUMIFS(RAB!$F$14:$F$76,RAB!$C$14:$C$76,C718)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SUMIFS(RAB!$F$14:$F$76,RAB!$C$14:$C$76,C719)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SUMIFS(RAB!$F$14:$F$76,RAB!$C$14:$C$76,C720)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SUMIFS(RAB!$F$14:$F$76,RAB!$C$14:$C$76,C721)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SUMIFS(RAB!$F$14:$F$76,RAB!$C$14:$C$76,C722)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SUMIFS(RAB!$F$14:$F$76,RAB!$C$14:$C$76,C723)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SUMIFS(RAB!$F$14:$F$76,RAB!$C$14:$C$76,C724)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SUMIFS(RAB!$F$14:$F$76,RAB!$C$14:$C$76,C725)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SUMIFS(RAB!$F$14:$F$76,RAB!$C$14:$C$76,C726)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SUMIFS(RAB!$F$14:$F$76,RAB!$C$14:$C$76,C727)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SUMIFS(RAB!$F$14:$F$76,RAB!$C$14:$C$76,C728)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SUMIFS(RAB!$F$14:$F$76,RAB!$C$14:$C$76,C729)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SUMIFS(RAB!$F$14:$F$76,RAB!$C$14:$C$76,C730)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SUMIFS(RAB!$F$14:$F$76,RAB!$C$14:$C$76,C731)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SUMIFS(RAB!$F$14:$F$76,RAB!$C$14:$C$76,C732)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SUMIFS(RAB!$F$14:$F$76,RAB!$C$14:$C$76,C733)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SUMIFS(RAB!$F$14:$F$76,RAB!$C$14:$C$76,C734)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SUMIFS(RAB!$F$14:$F$76,RAB!$C$14:$C$76,C735)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SUMIFS(RAB!$F$14:$F$76,RAB!$C$14:$C$76,C736)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SUMIFS(RAB!$F$14:$F$76,RAB!$C$14:$C$76,C737)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SUMIFS(RAB!$F$14:$F$76,RAB!$C$14:$C$76,C738)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SUMIFS(RAB!$F$14:$F$76,RAB!$C$14:$C$76,C739)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SUMIFS(RAB!$F$14:$F$76,RAB!$C$14:$C$76,C740)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SUMIFS(RAB!$F$14:$F$76,RAB!$C$14:$C$76,C741)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SUMIFS(RAB!$F$14:$F$76,RAB!$C$14:$C$76,C742)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SUMIFS(RAB!$F$14:$F$76,RAB!$C$14:$C$76,C743)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SUMIFS(RAB!$F$14:$F$76,RAB!$C$14:$C$76,C744)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SUMIFS(RAB!$F$14:$F$76,RAB!$C$14:$C$76,C745)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SUMIFS(RAB!$F$14:$F$76,RAB!$C$14:$C$76,C746)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SUMIFS(RAB!$F$14:$F$76,RAB!$C$14:$C$76,C747)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SUMIFS(RAB!$F$14:$F$76,RAB!$C$14:$C$76,C748)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SUMIFS(RAB!$F$14:$F$76,RAB!$C$14:$C$76,C749)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SUMIFS(RAB!$F$14:$F$76,RAB!$C$14:$C$76,C750)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SUMIFS(RAB!$F$14:$F$76,RAB!$C$14:$C$76,C751)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SUMIFS(RAB!$F$14:$F$76,RAB!$C$14:$C$76,C752)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SUMIFS(RAB!$F$14:$F$76,RAB!$C$14:$C$76,C753)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SUMIFS(RAB!$F$14:$F$76,RAB!$C$14:$C$76,C754)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SUMIFS(RAB!$F$14:$F$76,RAB!$C$14:$C$76,C755)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SUMIFS(RAB!$F$14:$F$76,RAB!$C$14:$C$76,C756)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SUMIFS(RAB!$F$14:$F$76,RAB!$C$14:$C$76,C757)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SUMIFS(RAB!$F$14:$F$76,RAB!$C$14:$C$76,C758)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SUMIFS(RAB!$F$14:$F$76,RAB!$C$14:$C$76,C759)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SUMIFS(RAB!$F$14:$F$76,RAB!$C$14:$C$76,C760)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SUMIFS(RAB!$F$14:$F$76,RAB!$C$14:$C$76,C761)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SUMIFS(RAB!$F$14:$F$76,RAB!$C$14:$C$76,C762)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SUMIFS(RAB!$F$14:$F$76,RAB!$C$14:$C$76,C763)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SUMIFS(RAB!$F$14:$F$76,RAB!$C$14:$C$76,C764)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SUMIFS(RAB!$F$14:$F$76,RAB!$C$14:$C$76,C765)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SUMIFS(RAB!$F$14:$F$76,RAB!$C$14:$C$76,C766)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SUMIFS(RAB!$F$14:$F$76,RAB!$C$14:$C$76,C767)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SUMIFS(RAB!$F$14:$F$76,RAB!$C$14:$C$76,C768)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SUMIFS(RAB!$F$14:$F$76,RAB!$C$14:$C$76,C769)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SUMIFS(RAB!$F$14:$F$76,RAB!$C$14:$C$76,C770)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SUMIFS(RAB!$F$14:$F$76,RAB!$C$14:$C$76,C771)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SUMIFS(RAB!$F$14:$F$76,RAB!$C$14:$C$76,C772)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SUMIFS(RAB!$F$14:$F$76,RAB!$C$14:$C$76,C773)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SUMIFS(RAB!$F$14:$F$76,RAB!$C$14:$C$76,C774)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SUMIFS(RAB!$F$14:$F$76,RAB!$C$14:$C$76,C775)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SUMIFS(RAB!$F$14:$F$76,RAB!$C$14:$C$76,C776)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SUMIFS(RAB!$F$14:$F$76,RAB!$C$14:$C$76,C777)</f>
        <v>1</v>
      </c>
      <c r="E777" s="26">
        <f t="shared" ca="1" si="33"/>
        <v>1</v>
      </c>
      <c r="F777" s="26">
        <f ca="1">IF(D777=0,0,SUM($E$713:E777))</f>
        <v>1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SUMIFS(RAB!$F$14:$F$76,RAB!$C$14:$C$76,C778)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SUMIFS(RAB!$F$14:$F$76,RAB!$C$14:$C$76,C779)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SUMIFS(RAB!$F$14:$F$76,RAB!$C$14:$C$76,C780)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SUMIFS(RAB!$F$14:$F$76,RAB!$C$14:$C$76,C781)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SUMIFS(RAB!$F$14:$F$76,RAB!$C$14:$C$76,C782)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SUMIFS(RAB!$F$14:$F$76,RAB!$C$14:$C$76,C783)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SUMIFS(RAB!$F$14:$F$76,RAB!$C$14:$C$76,C784)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SUMIFS(RAB!$F$14:$F$76,RAB!$C$14:$C$76,C785)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SUMIFS(RAB!$F$14:$F$76,RAB!$C$14:$C$76,C786)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SUMIFS(RAB!$F$14:$F$76,RAB!$C$14:$C$76,C787)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SUMIFS(RAB!$F$14:$F$76,RAB!$C$14:$C$76,C788)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SUMIFS(RAB!$F$14:$F$76,RAB!$C$14:$C$76,C789)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SUMIFS(RAB!$F$14:$F$76,RAB!$C$14:$C$76,C790)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SUMIFS(RAB!$F$14:$F$76,RAB!$C$14:$C$76,C791)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SUMIFS(RAB!$F$14:$F$76,RAB!$C$14:$C$76,C792)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SUMIFS(RAB!$F$14:$F$76,RAB!$C$14:$C$76,C793)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SUMIFS(RAB!$F$14:$F$76,RAB!$C$14:$C$76,C794)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SUMIFS(RAB!$F$14:$F$76,RAB!$C$14:$C$76,C795)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SUMIFS(RAB!$F$14:$F$76,RAB!$C$14:$C$76,C796)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SUMIFS(RAB!$F$14:$F$76,RAB!$C$14:$C$76,C797)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SUMIFS(RAB!$F$14:$F$76,RAB!$C$14:$C$76,C798)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SUMIFS(RAB!$F$14:$F$76,RAB!$C$14:$C$76,C799)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SUMIFS(RAB!$F$14:$F$76,RAB!$C$14:$C$76,C800)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SUMIFS(RAB!$F$14:$F$76,RAB!$C$14:$C$76,C801)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SUMIFS(RAB!$F$14:$F$76,RAB!$C$14:$C$76,C802)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SUMIFS(RAB!$F$14:$F$76,RAB!$C$14:$C$76,C803)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SUMIFS(RAB!$F$14:$F$76,RAB!$C$14:$C$76,C804)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SUMIFS(RAB!$F$14:$F$76,RAB!$C$14:$C$76,C805)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SUMIFS(RAB!$F$14:$F$76,RAB!$C$14:$C$76,C806)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SUMIFS(RAB!$F$14:$F$76,RAB!$C$14:$C$76,C807)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SUMIFS(RAB!$F$14:$F$76,RAB!$C$14:$C$76,C808)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SUMIFS(RAB!$F$14:$F$76,RAB!$C$14:$C$76,C809)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SUMIFS(RAB!$F$14:$F$76,RAB!$C$14:$C$76,C810)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SUMIFS(RAB!$F$14:$F$76,RAB!$C$14:$C$76,C811)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SUMIFS(RAB!$F$14:$F$76,RAB!$C$14:$C$76,C812)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SUMIFS(RAB!$F$14:$F$76,RAB!$C$14:$C$76,C813)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SUMIFS(RAB!$F$14:$F$76,RAB!$C$14:$C$76,C814)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SUMIFS(RAB!$F$14:$F$76,RAB!$C$14:$C$76,C815)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SUMIFS(RAB!$F$14:$F$76,RAB!$C$14:$C$76,C816)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SUMIFS(RAB!$F$14:$F$76,RAB!$C$14:$C$76,C817)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SUMIFS(RAB!$F$14:$F$76,RAB!$C$14:$C$76,C818)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SUMIFS(RAB!$F$14:$F$76,RAB!$C$14:$C$76,C819)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SUMIFS(RAB!$F$14:$F$76,RAB!$C$14:$C$76,C820)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SUMIFS(RAB!$F$14:$F$76,RAB!$C$14:$C$76,C821)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SUMIFS(RAB!$F$14:$F$76,RAB!$C$14:$C$76,C822)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SUMIFS(RAB!$F$14:$F$76,RAB!$C$14:$C$76,C823)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SUMIFS(RAB!$F$14:$F$76,RAB!$C$14:$C$76,C824)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SUMIFS(RAB!$F$14:$F$76,RAB!$C$14:$C$76,C825)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SUMIFS(RAB!$F$14:$F$76,RAB!$C$14:$C$76,C826)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SUMIFS(RAB!$F$14:$F$76,RAB!$C$14:$C$76,C827)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SUMIFS(RAB!$F$14:$F$76,RAB!$C$14:$C$76,C828)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SUMIFS(RAB!$F$14:$F$76,RAB!$C$14:$C$76,C829)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SUMIFS(RAB!$F$14:$F$76,RAB!$C$14:$C$76,C830)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SUMIFS(RAB!$F$14:$F$76,RAB!$C$14:$C$76,C831)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SUMIFS(RAB!$F$14:$F$76,RAB!$C$14:$C$76,C832)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SUMIFS(RAB!$F$14:$F$76,RAB!$C$14:$C$76,C833)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SUMIFS(RAB!$F$14:$F$76,RAB!$C$14:$C$76,C834)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SUMIFS(RAB!$F$14:$F$76,RAB!$C$14:$C$76,C835)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SUMIFS(RAB!$F$14:$F$76,RAB!$C$14:$C$76,C836)</f>
        <v>300</v>
      </c>
      <c r="E836" s="26">
        <f t="shared" ca="1" si="34"/>
        <v>1</v>
      </c>
      <c r="F836" s="26">
        <f ca="1">IF(D836=0,0,SUM($E$713:E836))</f>
        <v>2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SUMIFS(RAB!$F$14:$F$76,RAB!$C$14:$C$76,C837)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SUMIFS(RAB!$F$14:$F$76,RAB!$C$14:$C$76,C838)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SUMIFS(RAB!$F$14:$F$76,RAB!$C$14:$C$76,C839)</f>
        <v>35</v>
      </c>
      <c r="E839" s="26">
        <f t="shared" ca="1" si="34"/>
        <v>1</v>
      </c>
      <c r="F839" s="26">
        <f ca="1">IF(D839=0,0,SUM($E$713:E839))</f>
        <v>3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SUMIFS(RAB!$F$14:$F$76,RAB!$C$14:$C$76,C840)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SUMIFS(RAB!$F$14:$F$76,RAB!$C$14:$C$76,C841)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SUMIFS(RAB!$F$14:$F$76,RAB!$C$14:$C$76,C842)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SUMIFS(RAB!$F$14:$F$76,RAB!$C$14:$C$76,C843)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SUMIFS(RAB!$F$14:$F$76,RAB!$C$14:$C$76,C844)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SUMIFS(RAB!$F$14:$F$76,RAB!$C$14:$C$76,C845)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SUMIFS(RAB!$F$14:$F$76,RAB!$C$14:$C$76,C846)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SUMIFS(RAB!$F$14:$F$76,RAB!$C$14:$C$76,C847)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SUMIFS(RAB!$F$14:$F$76,RAB!$C$14:$C$76,C848)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SUMIFS(RAB!$F$14:$F$76,RAB!$C$14:$C$76,C849)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SUMIFS(RAB!$F$14:$F$76,RAB!$C$14:$C$76,C850)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SUMIFS(RAB!$F$14:$F$76,RAB!$C$14:$C$76,C851)</f>
        <v>1</v>
      </c>
      <c r="E851" s="26">
        <f t="shared" ca="1" si="35"/>
        <v>1</v>
      </c>
      <c r="F851" s="26">
        <f ca="1">IF(D851=0,0,SUM($E$713:E851))</f>
        <v>4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SUMIFS(RAB!$F$14:$F$76,RAB!$C$14:$C$76,C852)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SUMIFS(RAB!$F$14:$F$76,RAB!$C$14:$C$76,C853)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SUMIFS(RAB!$F$14:$F$76,RAB!$C$14:$C$76,C854)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SUMIFS(RAB!$F$14:$F$76,RAB!$C$14:$C$76,C855)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SUMIFS(RAB!$F$14:$F$76,RAB!$C$14:$C$76,C856)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SUMIFS(RAB!$F$14:$F$76,RAB!$C$14:$C$76,C857)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SUMIFS(RAB!$F$14:$F$76,RAB!$C$14:$C$76,C858)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SUMIFS(RAB!$F$14:$F$76,RAB!$C$14:$C$76,C859)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SUMIFS(RAB!$F$14:$F$76,RAB!$C$14:$C$76,C860)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SUMIFS(RAB!$F$14:$F$76,RAB!$C$14:$C$76,C861)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SUMIFS(RAB!$F$14:$F$76,RAB!$C$14:$C$76,C862)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SUMIFS(RAB!$F$14:$F$76,RAB!$C$14:$C$76,C863)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SUMIFS(RAB!$F$14:$F$76,RAB!$C$14:$C$76,C864)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SUMIFS(RAB!$F$14:$F$76,RAB!$C$14:$C$76,C865)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SUMIFS(RAB!$F$14:$F$76,RAB!$C$14:$C$76,C866)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SUMIFS(RAB!$F$14:$F$76,RAB!$C$14:$C$76,C867)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SUMIFS(RAB!$F$14:$F$76,RAB!$C$14:$C$76,C868)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SUMIFS(RAB!$F$14:$F$76,RAB!$C$14:$C$76,C869)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SUMIFS(RAB!$F$14:$F$76,RAB!$C$14:$C$76,C870)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SUMIFS(RAB!$F$14:$F$76,RAB!$C$14:$C$76,C871)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SUMIFS(RAB!$F$14:$F$76,RAB!$C$14:$C$76,C872)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SUMIFS(RAB!$F$14:$F$76,RAB!$C$14:$C$76,C873)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SUMIFS(RAB!$F$14:$F$76,RAB!$C$14:$C$76,C874)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SUMIFS(RAB!$F$14:$F$76,RAB!$C$14:$C$76,C875)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SUMIFS(RAB!$F$14:$F$76,RAB!$C$14:$C$76,C876)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SUMIFS(RAB!$F$14:$F$76,RAB!$C$14:$C$76,C877)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SUMIFS(RAB!$F$14:$F$76,RAB!$C$14:$C$76,C878)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SUMIFS(RAB!$F$14:$F$76,RAB!$C$14:$C$76,C879)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SUMIFS(RAB!$F$14:$F$76,RAB!$C$14:$C$76,C880)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SUMIFS(RAB!$F$14:$F$76,RAB!$C$14:$C$76,C881)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SUMIFS(RAB!$F$14:$F$76,RAB!$C$14:$C$76,C882)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SUMIFS(RAB!$F$14:$F$76,RAB!$C$14:$C$76,C883)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SUMIFS(RAB!$F$14:$F$76,RAB!$C$14:$C$76,C884)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SUMIFS(RAB!$F$14:$F$76,RAB!$C$14:$C$76,C885)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SUMIFS(RAB!$F$14:$F$76,RAB!$C$14:$C$76,C886)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SUMIFS(RAB!$F$14:$F$76,RAB!$C$14:$C$76,C887)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SUMIFS(RAB!$F$14:$F$76,RAB!$C$14:$C$76,C888)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SUMIFS(RAB!$F$14:$F$76,RAB!$C$14:$C$76,C889)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SUMIFS(RAB!$F$14:$F$76,RAB!$C$14:$C$76,C890)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SUMIFS(RAB!$F$14:$F$76,RAB!$C$14:$C$76,C891)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SUMIFS(RAB!$F$14:$F$76,RAB!$C$14:$C$76,C892)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SUMIFS(RAB!$F$14:$F$76,RAB!$C$14:$C$76,C893)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SUMIFS(RAB!$F$14:$F$76,RAB!$C$14:$C$76,C894)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SUMIFS(RAB!$F$14:$F$76,RAB!$C$14:$C$76,C895)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SUMIFS(RAB!$F$14:$F$76,RAB!$C$14:$C$76,C896)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SUMIFS(RAB!$F$14:$F$76,RAB!$C$14:$C$76,C897)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SUMIFS(RAB!$F$14:$F$76,RAB!$C$14:$C$76,C898)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SUMIFS(RAB!$F$14:$F$76,RAB!$C$14:$C$76,C899)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SUMIFS(RAB!$F$14:$F$76,RAB!$C$14:$C$76,C900)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SUMIFS(RAB!$F$14:$F$76,RAB!$C$14:$C$76,C901)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SUMIFS(RAB!$F$14:$F$76,RAB!$C$14:$C$76,C902)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SUMIFS(RAB!$F$14:$F$76,RAB!$C$14:$C$76,C903)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SUMIFS(RAB!$F$14:$F$76,RAB!$C$14:$C$76,C904)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SUMIFS(RAB!$F$14:$F$76,RAB!$C$14:$C$76,C905)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SUMIFS(RAB!$F$14:$F$76,RAB!$C$14:$C$76,C906)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SUMIFS(RAB!$F$14:$F$76,RAB!$C$14:$C$76,C907)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SUMIFS(RAB!$F$14:$F$76,RAB!$C$14:$C$76,C908)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SUMIFS(RAB!$F$14:$F$76,RAB!$C$14:$C$76,C909)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SUMIFS(RAB!$F$14:$F$76,RAB!$C$14:$C$76,C910)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SUMIFS(RAB!$F$14:$F$76,RAB!$C$14:$C$76,C911)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SUMIFS(RAB!$F$14:$F$76,RAB!$C$14:$C$76,C912)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SUMIFS(RAB!$F$14:$F$76,RAB!$C$14:$C$76,C913)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SUMIFS(RAB!$F$14:$F$76,RAB!$C$14:$C$76,C914)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SUMIFS(RAB!$F$14:$F$76,RAB!$C$14:$C$76,C915)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SUMIFS(RAB!$F$14:$F$76,RAB!$C$14:$C$76,C916)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SUMIFS(RAB!$F$14:$F$76,RAB!$C$14:$C$76,C917)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SUMIFS(RAB!$F$14:$F$76,RAB!$C$14:$C$76,C918)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SUMIFS(RAB!$F$14:$F$76,RAB!$C$14:$C$76,C919)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SUMIFS(RAB!$F$14:$F$76,RAB!$C$14:$C$76,C920)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SUMIFS(RAB!$F$14:$F$76,RAB!$C$14:$C$76,C921)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SUMIFS(RAB!$F$14:$F$76,RAB!$C$14:$C$76,C922)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SUMIFS(RAB!$F$14:$F$76,RAB!$C$14:$C$76,C923)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SUMIFS(RAB!$F$14:$F$76,RAB!$C$14:$C$76,C924)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SUMIFS(RAB!$F$14:$F$76,RAB!$C$14:$C$76,C925)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SUMIFS(RAB!$F$14:$F$76,RAB!$C$14:$C$76,C926)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SUMIFS(RAB!$F$14:$F$76,RAB!$C$14:$C$76,C927)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SUMIFS(RAB!$F$14:$F$76,RAB!$C$14:$C$76,C928)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SUMIFS(RAB!$F$14:$F$76,RAB!$C$14:$C$76,C929)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SUMIFS(RAB!$F$14:$F$76,RAB!$C$14:$C$76,C930)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SUMIFS(RAB!$F$14:$F$76,RAB!$C$14:$C$76,C931)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SUMIFS(RAB!$F$14:$F$76,RAB!$C$14:$C$76,C932)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SUMIFS(RAB!$F$14:$F$76,RAB!$C$14:$C$76,C933)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SUMIFS(RAB!$F$14:$F$76,RAB!$C$14:$C$76,C934)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SUMIFS(RAB!$F$14:$F$76,RAB!$C$14:$C$76,C935)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SUMIFS(RAB!$F$14:$F$76,RAB!$C$14:$C$76,C936)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SUMIFS(RAB!$F$14:$F$76,RAB!$C$14:$C$76,C937)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SUMIFS(RAB!$F$14:$F$76,RAB!$C$14:$C$76,C938)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SUMIFS(RAB!$F$14:$F$76,RAB!$C$14:$C$76,C939)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SUMIFS(RAB!$F$14:$F$76,RAB!$C$14:$C$76,C940)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SUMIFS(RAB!$F$14:$F$76,RAB!$C$14:$C$76,C941)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SUMIFS(RAB!$F$14:$F$76,RAB!$C$14:$C$76,C942)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SUMIFS(RAB!$F$14:$F$76,RAB!$C$14:$C$76,C943)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SUMIFS(RAB!$F$14:$F$76,RAB!$C$14:$C$76,C944)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SUMIFS(RAB!$F$14:$F$76,RAB!$C$14:$C$76,C945)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SUMIFS(RAB!$F$14:$F$76,RAB!$C$14:$C$76,C946)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SUMIFS(RAB!$F$14:$F$76,RAB!$C$14:$C$76,C947)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SUMIFS(RAB!$F$14:$F$76,RAB!$C$14:$C$76,C948)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SUMIFS(RAB!$F$14:$F$76,RAB!$C$14:$C$76,C949)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SUMIFS(RAB!$F$14:$F$76,RAB!$C$14:$C$76,C950)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SUMIFS(RAB!$F$14:$F$76,RAB!$C$14:$C$76,C951)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SUMIFS(RAB!$F$14:$F$76,RAB!$C$14:$C$76,C952)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SUMIFS(RAB!$F$14:$F$76,RAB!$C$14:$C$76,C953)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SUMIFS(RAB!$F$14:$F$76,RAB!$C$14:$C$76,C954)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SUMIFS(RAB!$F$14:$F$76,RAB!$C$14:$C$76,C955)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SUMIFS(RAB!$F$14:$F$76,RAB!$C$14:$C$76,C956)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SUMIFS(RAB!$F$14:$F$76,RAB!$C$14:$C$76,C957)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SUMIFS(RAB!$F$14:$F$76,RAB!$C$14:$C$76,C958)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SUMIFS(RAB!$F$14:$F$76,RAB!$C$14:$C$76,C959)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SUMIFS(RAB!$F$14:$F$76,RAB!$C$14:$C$76,C960)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SUMIFS(RAB!$F$14:$F$76,RAB!$C$14:$C$76,C961)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SUMIFS(RAB!$F$14:$F$76,RAB!$C$14:$C$76,C962)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SUMIFS(RAB!$F$14:$F$76,RAB!$C$14:$C$76,C963)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SUMIFS(RAB!$F$14:$F$76,RAB!$C$14:$C$76,C964)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SUMIFS(RAB!$F$14:$F$76,RAB!$C$14:$C$76,C965)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SUMIFS(RAB!$F$14:$F$76,RAB!$C$14:$C$76,C966)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SUMIFS(RAB!$F$14:$F$76,RAB!$C$14:$C$76,C967)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SUMIFS(RAB!$F$14:$F$76,RAB!$C$14:$C$76,C968)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SUMIFS(RAB!$F$14:$F$76,RAB!$C$14:$C$76,C969)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SUMIFS(RAB!$F$14:$F$76,RAB!$C$14:$C$76,C970)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SUMIFS(RAB!$F$14:$F$76,RAB!$C$14:$C$76,C971)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SUMIFS(RAB!$F$14:$F$76,RAB!$C$14:$C$76,C972)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SUMIFS(RAB!$F$14:$F$76,RAB!$C$14:$C$76,C973)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SUMIFS(RAB!$F$14:$F$76,RAB!$C$14:$C$76,C974)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SUMIFS(RAB!$F$14:$F$76,RAB!$C$14:$C$76,C975)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SUMIFS(RAB!$F$14:$F$76,RAB!$C$14:$C$76,C976)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SUMIFS(RAB!$F$14:$F$76,RAB!$C$14:$C$76,C977)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SUMIFS(RAB!$F$14:$F$76,RAB!$C$14:$C$76,C978)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SUMIFS(RAB!$F$14:$F$76,RAB!$C$14:$C$76,C979)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SUMIFS(RAB!$F$14:$F$76,RAB!$C$14:$C$76,C980)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SUMIFS(RAB!$F$14:$F$76,RAB!$C$14:$C$76,C981)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SUMIFS(RAB!$F$14:$F$76,RAB!$C$14:$C$76,C982)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SUMIFS(RAB!$F$14:$F$76,RAB!$C$14:$C$76,C983)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SUMIFS(RAB!$F$14:$F$76,RAB!$C$14:$C$76,C984)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SUMIFS(RAB!$F$14:$F$76,RAB!$C$14:$C$76,C985)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SUMIFS(RAB!$F$14:$F$76,RAB!$C$14:$C$76,C986)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SUMIFS(RAB!$F$14:$F$76,RAB!$C$14:$C$76,C987)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SUMIFS(RAB!$F$14:$F$76,RAB!$C$14:$C$76,C988)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SUMIFS(RAB!$F$14:$F$76,RAB!$C$14:$C$76,C989)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SUMIFS(RAB!$F$14:$F$76,RAB!$C$14:$C$76,C990)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SUMIFS(RAB!$F$14:$F$76,RAB!$C$14:$C$76,C991)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SUMIFS(RAB!$F$14:$F$76,RAB!$C$14:$C$76,C992)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SUMIFS(RAB!$F$14:$F$76,RAB!$C$14:$C$76,C993)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SUMIFS(RAB!$F$14:$F$76,RAB!$C$14:$C$76,C994)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SUMIFS(RAB!$F$14:$F$76,RAB!$C$14:$C$76,C995)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SUMIFS(RAB!$F$14:$F$76,RAB!$C$14:$C$76,C996)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SUMIFS(RAB!$F$14:$F$76,RAB!$C$14:$C$76,C997)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SUMIFS(RAB!$F$14:$F$76,RAB!$C$14:$C$76,C998)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SUMIFS(RAB!$F$14:$F$76,RAB!$C$14:$C$76,C999)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SUMIFS(RAB!$F$14:$F$76,RAB!$C$14:$C$76,C1000)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SUMIFS(RAB!$F$14:$F$76,RAB!$C$14:$C$76,C1001)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SUMIFS(RAB!$F$14:$F$76,RAB!$C$14:$C$76,C1002)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SUMIFS(RAB!$F$14:$F$76,RAB!$C$14:$C$76,C1003)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SUMIFS(RAB!$F$14:$F$76,RAB!$C$14:$C$76,C1004)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SUMIFS(RAB!$F$14:$F$76,RAB!$C$14:$C$76,C1005)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SUMIFS(RAB!$F$14:$F$76,RAB!$C$14:$C$76,C1006)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SUMIFS(RAB!$F$14:$F$76,RAB!$C$14:$C$76,C1007)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SUMIFS(RAB!$F$14:$F$76,RAB!$C$14:$C$76,C1008)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SUMIFS(RAB!$F$14:$F$76,RAB!$C$14:$C$76,C1009)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SUMIFS(RAB!$F$14:$F$76,RAB!$C$14:$C$76,C1010)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SUMIFS(RAB!$F$14:$F$76,RAB!$C$14:$C$76,C1011)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SUMIFS(RAB!$F$14:$F$76,RAB!$C$14:$C$76,C1012)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SUMIFS(RAB!$F$14:$F$76,RAB!$C$14:$C$76,C1013)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SUMIFS(RAB!$F$14:$F$76,RAB!$C$14:$C$76,C1014)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SUMIFS(RAB!$F$14:$F$76,RAB!$C$14:$C$76,C1015)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SUMIFS(RAB!$F$14:$F$76,RAB!$C$14:$C$76,C1016)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SUMIFS(RAB!$F$14:$F$76,RAB!$C$14:$C$76,C1017)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SUMIFS(RAB!$F$14:$F$76,RAB!$C$14:$C$76,C1018)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SUMIFS(RAB!$F$14:$F$76,RAB!$C$14:$C$76,C1019)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SUMIFS(RAB!$F$14:$F$76,RAB!$C$14:$C$76,C1020)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SUMIFS(RAB!$F$14:$F$76,RAB!$C$14:$C$76,C1021)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SUMIFS(RAB!$F$14:$F$76,RAB!$C$14:$C$76,C1022)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SUMIFS(RAB!$F$14:$F$76,RAB!$C$14:$C$76,C1023)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SUMIFS(RAB!$F$14:$F$76,RAB!$C$14:$C$76,C1024)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SUMIFS(RAB!$F$14:$F$76,RAB!$C$14:$C$76,C1025)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SUMIFS(RAB!$F$14:$F$76,RAB!$C$14:$C$76,C1026)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SUMIFS(RAB!$F$14:$F$76,RAB!$C$14:$C$76,C1027)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SUMIFS(RAB!$F$14:$F$76,RAB!$C$14:$C$76,C1028)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SUMIFS(RAB!$F$14:$F$76,RAB!$C$14:$C$76,C1029)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SUMIFS(RAB!$F$14:$F$76,RAB!$C$14:$C$76,C1030)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SUMIFS(RAB!$F$14:$F$76,RAB!$C$14:$C$76,C1031)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SUMIFS(RAB!$F$14:$F$76,RAB!$C$14:$C$76,C1032)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SUMIFS(RAB!$F$14:$F$76,RAB!$C$14:$C$76,C1033)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SUMIFS(RAB!$F$14:$F$76,RAB!$C$14:$C$76,C1034)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SUMIFS(RAB!$F$14:$F$76,RAB!$C$14:$C$76,C1035)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SUMIFS(RAB!$F$14:$F$76,RAB!$C$14:$C$76,C1036)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SUMIFS(RAB!$F$14:$F$76,RAB!$C$14:$C$76,C1037)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SUMIFS(RAB!$F$14:$F$76,RAB!$C$14:$C$76,C1038)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SUMIFS(RAB!$F$14:$F$76,RAB!$C$14:$C$76,C1039)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SUMIFS(RAB!$F$14:$F$76,RAB!$C$14:$C$76,C1040)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SUMIFS(RAB!$F$14:$F$76,RAB!$C$14:$C$76,C1041)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SUMIFS(RAB!$F$14:$F$76,RAB!$C$14:$C$76,C1042)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SUMIFS(RAB!$F$14:$F$76,RAB!$C$14:$C$76,C1043)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SUMIFS(RAB!$F$14:$F$76,RAB!$C$14:$C$76,C1044)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SUMIFS(RAB!$F$14:$F$76,RAB!$C$14:$C$76,C1045)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SUMIFS(RAB!$F$14:$F$76,RAB!$C$14:$C$76,C1046)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SUMIFS(RAB!$F$14:$F$76,RAB!$C$14:$C$76,C1047)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SUMIFS(RAB!$F$14:$F$76,RAB!$C$14:$C$76,C1048)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SUMIFS(RAB!$F$14:$F$76,RAB!$C$14:$C$76,C1049)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SUMIFS(RAB!$F$14:$F$76,RAB!$C$14:$C$76,C1050)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SUMIFS(RAB!$F$14:$F$76,RAB!$C$14:$C$76,C1051)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SUMIFS(RAB!$F$14:$F$76,RAB!$C$14:$C$76,C1052)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SUMIFS(RAB!$F$14:$F$76,RAB!$C$14:$C$76,C1053)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SUMIFS(RAB!$F$14:$F$76,RAB!$C$14:$C$76,C1054)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SUMIFS(RAB!$F$14:$F$76,RAB!$C$14:$C$76,C1055)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SUMIFS(RAB!$F$14:$F$76,RAB!$C$14:$C$76,C1056)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SUMIFS(RAB!$F$14:$F$76,RAB!$C$14:$C$76,C1057)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SUMIFS(RAB!$F$14:$F$76,RAB!$C$14:$C$76,C1058)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SUMIFS(RAB!$F$14:$F$76,RAB!$C$14:$C$76,C1059)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SUMIFS(RAB!$F$14:$F$76,RAB!$C$14:$C$76,C1060)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SUMIFS(RAB!$F$14:$F$76,RAB!$C$14:$C$76,C1061)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SUMIFS(RAB!$F$14:$F$76,RAB!$C$14:$C$76,C1062)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SUMIFS(RAB!$F$14:$F$76,RAB!$C$14:$C$76,C1063)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SUMIFS(RAB!$F$14:$F$76,RAB!$C$14:$C$76,C1064)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SUMIFS(RAB!$F$14:$F$76,RAB!$C$14:$C$76,C1065)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SUMIFS(RAB!$F$14:$F$76,RAB!$C$14:$C$76,C1066)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SUMIFS(RAB!$F$14:$F$76,RAB!$C$14:$C$76,C1067)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SUMIFS(RAB!$F$14:$F$76,RAB!$C$14:$C$76,C1068)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SUMIFS(RAB!$F$14:$F$76,RAB!$C$14:$C$76,C1069)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SUMIFS(RAB!$F$14:$F$76,RAB!$C$14:$C$76,C1070)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SUMIFS(RAB!$F$14:$F$76,RAB!$C$14:$C$76,C1071)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SUMIFS(RAB!$F$14:$F$76,RAB!$C$14:$C$76,C1072)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SUMIFS(RAB!$F$14:$F$76,RAB!$C$14:$C$76,C1073)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SUMIFS(RAB!$F$14:$F$76,RAB!$C$14:$C$76,C1074)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SUMIFS(RAB!$F$14:$F$76,RAB!$C$14:$C$76,C1075)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SUMIFS(RAB!$F$14:$F$76,RAB!$C$14:$C$76,C1076)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SUMIFS(RAB!$F$14:$F$76,RAB!$C$14:$C$76,C1077)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SUMIFS(RAB!$F$14:$F$76,RAB!$C$14:$C$76,C1078)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SUMIFS(RAB!$F$14:$F$76,RAB!$C$14:$C$76,C1079)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SUMIFS(RAB!$F$14:$F$76,RAB!$C$14:$C$76,C1080)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SUMIFS(RAB!$F$14:$F$76,RAB!$C$14:$C$76,C1081)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SUMIFS(RAB!$F$14:$F$76,RAB!$C$14:$C$76,C1082)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SUMIFS(RAB!$F$14:$F$76,RAB!$C$14:$C$76,C1083)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SUMIFS(RAB!$F$14:$F$76,RAB!$C$14:$C$76,C1084)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SUMIFS(RAB!$F$14:$F$76,RAB!$C$14:$C$76,C1085)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SUMIFS(RAB!$F$14:$F$76,RAB!$C$14:$C$76,C1086)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SUMIFS(RAB!$F$14:$F$76,RAB!$C$14:$C$76,C1087)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SUMIFS(RAB!$F$14:$F$76,RAB!$C$14:$C$76,C1088)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SUMIFS(RAB!$F$14:$F$76,RAB!$C$14:$C$76,C1089)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SUMIFS(RAB!$F$14:$F$76,RAB!$C$14:$C$76,C1090)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SUMIFS(RAB!$F$14:$F$76,RAB!$C$14:$C$76,C1091)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SUMIFS(RAB!$F$14:$F$76,RAB!$C$14:$C$76,C1092)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SUMIFS(RAB!$F$14:$F$76,RAB!$C$14:$C$76,C1093)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SUMIFS(RAB!$F$14:$F$76,RAB!$C$14:$C$76,C1094)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SUMIFS(RAB!$F$14:$F$76,RAB!$C$14:$C$76,C1095)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SUMIFS(RAB!$F$14:$F$76,RAB!$C$14:$C$76,C1096)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SUMIFS(RAB!$F$14:$F$76,RAB!$C$14:$C$76,C1097)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SUMIFS(RAB!$F$14:$F$76,RAB!$C$14:$C$76,C1098)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SUMIFS(RAB!$F$14:$F$76,RAB!$C$14:$C$76,C1099)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SUMIFS(RAB!$F$14:$F$76,RAB!$C$14:$C$76,C1100)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SUMIFS(RAB!$F$14:$F$76,RAB!$C$14:$C$76,C1101)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SUMIFS(RAB!$F$14:$F$76,RAB!$C$14:$C$76,C1102)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SUMIFS(RAB!$F$14:$F$76,RAB!$C$14:$C$76,C1103)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SUMIFS(RAB!$F$14:$F$76,RAB!$C$14:$C$76,C1104)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SUMIFS(RAB!$F$14:$F$76,RAB!$C$14:$C$76,C1105)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SUMIFS(RAB!$F$14:$F$76,RAB!$C$14:$C$76,C1106)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SUMIFS(RAB!$F$14:$F$76,RAB!$C$14:$C$76,C1107)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SUMIFS(RAB!$F$14:$F$76,RAB!$C$14:$C$76,C1108)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SUMIFS(RAB!$F$14:$F$76,RAB!$C$14:$C$76,C1109)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SUMIFS(RAB!$F$14:$F$76,RAB!$C$14:$C$76,C1110)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SUMIFS(RAB!$F$14:$F$76,RAB!$C$14:$C$76,C1111)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SUMIFS(RAB!$F$14:$F$76,RAB!$C$14:$C$76,C1112)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SUMIFS(RAB!$F$14:$F$76,RAB!$C$14:$C$76,C1113)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SUMIFS(RAB!$F$14:$F$76,RAB!$C$14:$C$76,C1114)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SUMIFS(RAB!$F$14:$F$76,RAB!$C$14:$C$76,C1115)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SUMIFS(RAB!$F$14:$F$76,RAB!$C$14:$C$76,C1116)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SUMIFS(RAB!$F$14:$F$76,RAB!$C$14:$C$76,C1117)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SUMIFS(RAB!$F$14:$F$76,RAB!$C$14:$C$76,C1118)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SUMIFS(RAB!$F$14:$F$76,RAB!$C$14:$C$76,C1119)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SUMIFS(RAB!$F$14:$F$76,RAB!$C$14:$C$76,C1120)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SUMIFS(RAB!$F$14:$F$76,RAB!$C$14:$C$76,C1121)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SUMIFS(RAB!$F$14:$F$76,RAB!$C$14:$C$76,C1122)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SUMIFS(RAB!$F$14:$F$76,RAB!$C$14:$C$76,C1123)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SUMIFS(RAB!$F$14:$F$76,RAB!$C$14:$C$76,C1124)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SUMIFS(RAB!$F$14:$F$76,RAB!$C$14:$C$76,C1125)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SUMIFS(RAB!$F$14:$F$76,RAB!$C$14:$C$76,C1126)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SUMIFS(RAB!$F$14:$F$76,RAB!$C$14:$C$76,C1127)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SUMIFS(RAB!$F$14:$F$76,RAB!$C$14:$C$76,C1128)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SUMIFS(RAB!$F$14:$F$76,RAB!$C$14:$C$76,C1129)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SUMIFS(RAB!$F$14:$F$76,RAB!$C$14:$C$76,C1130)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SUMIFS(RAB!$F$14:$F$76,RAB!$C$14:$C$76,C1131)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SUMIFS(RAB!$F$14:$F$76,RAB!$C$14:$C$76,C1132)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SUMIFS(RAB!$F$14:$F$76,RAB!$C$14:$C$76,C1133)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SUMIFS(RAB!$F$14:$F$76,RAB!$C$14:$C$76,C1134)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SUMIFS(RAB!$F$14:$F$76,RAB!$C$14:$C$76,C1135)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SUMIFS(RAB!$F$14:$F$76,RAB!$C$14:$C$76,C1136)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SUMIFS(RAB!$F$14:$F$76,RAB!$C$14:$C$76,C1137)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SUMIFS(RAB!$F$14:$F$76,RAB!$C$14:$C$76,C1138)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SUMIFS(RAB!$F$14:$F$76,RAB!$C$14:$C$76,C1139)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SUMIFS(RAB!$F$14:$F$76,RAB!$C$14:$C$76,C1140)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SUMIFS(RAB!$F$14:$F$76,RAB!$C$14:$C$76,C1141)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SUMIFS(RAB!$F$14:$F$76,RAB!$C$14:$C$76,C1142)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SUMIFS(RAB!$F$14:$F$76,RAB!$C$14:$C$76,C1143)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SUMIFS(RAB!$F$14:$F$76,RAB!$C$14:$C$76,C1144)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SUMIFS(RAB!$F$14:$F$76,RAB!$C$14:$C$76,C1145)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SUMIFS(RAB!$F$14:$F$76,RAB!$C$14:$C$76,C1146)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SUMIFS(RAB!$F$14:$F$76,RAB!$C$14:$C$76,C1147)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SUMIFS(RAB!$F$14:$F$76,RAB!$C$14:$C$76,C1148)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SUMIFS(RAB!$F$14:$F$76,RAB!$C$14:$C$76,C1149)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SUMIFS(RAB!$F$14:$F$76,RAB!$C$14:$C$76,C1150)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SUMIFS(RAB!$F$14:$F$76,RAB!$C$14:$C$76,C1151)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SUMIFS(RAB!$F$14:$F$76,RAB!$C$14:$C$76,C1152)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SUMIFS(RAB!$F$14:$F$76,RAB!$C$14:$C$76,C1153)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SUMIFS(RAB!$F$14:$F$76,RAB!$C$14:$C$76,C1154)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SUMIFS(RAB!$F$14:$F$76,RAB!$C$14:$C$76,C1155)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SUMIFS(RAB!$F$14:$F$76,RAB!$C$14:$C$76,C1156)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SUMIFS(RAB!$F$14:$F$76,RAB!$C$14:$C$76,C1157)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SUMIFS(RAB!$F$14:$F$76,RAB!$C$14:$C$76,C1158)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SUMIFS(RAB!$F$14:$F$76,RAB!$C$14:$C$76,C1159)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SUMIFS(RAB!$F$14:$F$76,RAB!$C$14:$C$76,C1160)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SUMIFS(RAB!$F$14:$F$76,RAB!$C$14:$C$76,C1161)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SUMIFS(RAB!$F$14:$F$76,RAB!$C$14:$C$76,C1162)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SUMIFS(RAB!$F$14:$F$76,RAB!$C$14:$C$76,C1163)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SUMIFS(RAB!$F$14:$F$76,RAB!$C$14:$C$76,C1164)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SUMIFS(RAB!$F$14:$F$76,RAB!$C$14:$C$76,C1165)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SUMIFS(RAB!$F$14:$F$76,RAB!$C$14:$C$76,C1166)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SUMIFS(RAB!$F$14:$F$76,RAB!$C$14:$C$76,C1167)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SUMIFS(RAB!$F$14:$F$76,RAB!$C$14:$C$76,C1168)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SUMIFS(RAB!$F$14:$F$76,RAB!$C$14:$C$76,C1169)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SUMIFS(RAB!$F$14:$F$76,RAB!$C$14:$C$76,C1170)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SUMIFS(RAB!$F$14:$F$76,RAB!$C$14:$C$76,C1171)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SUMIFS(RAB!$F$14:$F$76,RAB!$C$14:$C$76,C1172)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SUMIFS(RAB!$F$14:$F$76,RAB!$C$14:$C$76,C1173)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SUMIFS(RAB!$F$14:$F$76,RAB!$C$14:$C$76,C1174)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SUMIFS(RAB!$F$14:$F$76,RAB!$C$14:$C$76,C1175)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SUMIFS(RAB!$F$14:$F$76,RAB!$C$14:$C$76,C1176)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SUMIFS(RAB!$F$14:$F$76,RAB!$C$14:$C$76,C1177)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SUMIFS(RAB!$F$14:$F$76,RAB!$C$14:$C$76,C1178)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SUMIFS(RAB!$F$14:$F$76,RAB!$C$14:$C$76,C1179)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SUMIFS(RAB!$F$14:$F$76,RAB!$C$14:$C$76,C1180)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SUMIFS(RAB!$F$14:$F$76,RAB!$C$14:$C$76,C1181)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SUMIFS(RAB!$F$14:$F$76,RAB!$C$14:$C$76,C1182)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SUMIFS(RAB!$F$14:$F$76,RAB!$C$14:$C$76,C1183)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SUMIFS(RAB!$F$14:$F$76,RAB!$C$14:$C$76,C1184)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SUMIFS(RAB!$F$14:$F$76,RAB!$C$14:$C$76,C1185)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SUMIFS(RAB!$F$14:$F$76,RAB!$C$14:$C$76,C1186)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SUMIFS(RAB!$F$14:$F$76,RAB!$C$14:$C$76,C1187)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SUMIFS(RAB!$F$14:$F$76,RAB!$C$14:$C$76,C1188)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SUMIFS(RAB!$F$14:$F$76,RAB!$C$14:$C$76,C1189)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SUMIFS(RAB!$F$14:$F$76,RAB!$C$14:$C$76,C1190)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SUMIFS(RAB!$F$14:$F$76,RAB!$C$14:$C$76,C1191)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SUMIFS(RAB!$F$14:$F$76,RAB!$C$14:$C$76,C1192)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SUMIFS(RAB!$F$14:$F$76,RAB!$C$14:$C$76,C1193)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SUMIFS(RAB!$F$14:$F$76,RAB!$C$14:$C$76,C1194)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SUMIFS(RAB!$F$14:$F$76,RAB!$C$14:$C$76,C1195)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SUMIFS(RAB!$F$14:$F$76,RAB!$C$14:$C$76,C1196)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SUMIFS(RAB!$F$14:$F$76,RAB!$C$14:$C$76,C1197)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SUMIFS(RAB!$F$14:$F$76,RAB!$C$14:$C$76,C1198)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SUMIFS(RAB!$F$14:$F$76,RAB!$C$14:$C$76,C1199)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SUMIFS(RAB!$F$14:$F$76,RAB!$C$14:$C$76,C1200)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SUMIFS(RAB!$F$14:$F$76,RAB!$C$14:$C$76,C1201)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SUMIFS(RAB!$F$14:$F$76,RAB!$C$14:$C$76,C1202)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SUMIFS(RAB!$F$14:$F$76,RAB!$C$14:$C$76,C1203)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SUMIFS(RAB!$F$14:$F$76,RAB!$C$14:$C$76,C1204)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SUMIFS(RAB!$F$14:$F$76,RAB!$C$14:$C$76,C1205)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SUMIFS(RAB!$F$14:$F$76,RAB!$C$14:$C$76,C1206)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SUMIFS(RAB!$F$14:$F$76,RAB!$C$14:$C$76,C1207)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SUMIFS(RAB!$F$14:$F$76,RAB!$C$14:$C$76,C1208)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SUMIFS(RAB!$F$14:$F$76,RAB!$C$14:$C$76,C1209)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SUMIFS(RAB!$F$14:$F$76,RAB!$C$14:$C$76,C1210)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SUMIFS(RAB!$F$14:$F$76,RAB!$C$14:$C$76,C1211)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SUMIFS(RAB!$F$14:$F$76,RAB!$C$14:$C$76,C1212)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SUMIFS(RAB!$F$14:$F$76,RAB!$C$14:$C$76,C1213)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SUMIFS(RAB!$F$14:$F$76,RAB!$C$14:$C$76,C1214)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SUMIFS(RAB!$F$14:$F$76,RAB!$C$14:$C$76,C1215)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SUMIFS(RAB!$F$14:$F$76,RAB!$C$14:$C$76,C1216)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SUMIFS(RAB!$F$14:$F$76,RAB!$C$14:$C$76,C1217)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SUMIFS(RAB!$F$14:$F$76,RAB!$C$14:$C$76,C1218)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SUMIFS(RAB!$F$14:$F$76,RAB!$C$14:$C$76,C1219)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SUMIFS(RAB!$F$14:$F$76,RAB!$C$14:$C$76,C1220)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SUMIFS(RAB!$F$14:$F$76,RAB!$C$14:$C$76,C1221)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SUMIFS(RAB!$F$14:$F$76,RAB!$C$14:$C$76,C1222)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SUMIFS(RAB!$F$14:$F$76,RAB!$C$14:$C$76,C1223)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SUMIFS(RAB!$F$14:$F$76,RAB!$C$14:$C$76,C1224)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SUMIFS(RAB!$F$14:$F$76,RAB!$C$14:$C$76,C1225)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SUMIFS(RAB!$F$14:$F$76,RAB!$C$14:$C$76,C1226)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SUMIFS(RAB!$F$14:$F$76,RAB!$C$14:$C$76,C1227)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SUMIFS(RAB!$F$14:$F$76,RAB!$C$14:$C$76,C1228)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SUMIFS(RAB!$F$14:$F$76,RAB!$C$14:$C$76,C1229)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SUMIFS(RAB!$F$14:$F$76,RAB!$C$14:$C$76,C1230)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SUMIFS(RAB!$F$14:$F$76,RAB!$C$14:$C$76,C1231)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SUMIFS(RAB!$F$14:$F$76,RAB!$C$14:$C$76,C1232)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SUMIFS(RAB!$F$14:$F$76,RAB!$C$14:$C$76,C1233)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SUMIFS(RAB!$F$14:$F$76,RAB!$C$14:$C$76,C1234)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SUMIFS(RAB!$F$14:$F$76,RAB!$C$14:$C$76,C1235)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SUMIFS(RAB!$F$14:$F$76,RAB!$C$14:$C$76,C1236)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SUMIFS(RAB!$F$14:$F$76,RAB!$C$14:$C$76,C1237)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SUMIFS(RAB!$F$14:$F$76,RAB!$C$14:$C$76,C1238)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SUMIFS(RAB!$F$14:$F$76,RAB!$C$14:$C$76,C1239)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SUMIFS(RAB!$F$14:$F$76,RAB!$C$14:$C$76,C1240)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SUMIFS(RAB!$F$14:$F$76,RAB!$C$14:$C$76,C1241)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SUMIFS(RAB!$F$14:$F$76,RAB!$C$14:$C$76,C1242)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SUMIFS(RAB!$F$14:$F$76,RAB!$C$14:$C$76,C1243)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SUMIFS(RAB!$F$14:$F$76,RAB!$C$14:$C$76,C1244)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SUMIFS(RAB!$F$14:$F$76,RAB!$C$14:$C$76,C1245)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SUMIFS(RAB!$F$14:$F$76,RAB!$C$14:$C$76,C1246)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SUMIFS(RAB!$F$14:$F$76,RAB!$C$14:$C$76,C1247)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SUMIFS(RAB!$F$14:$F$76,RAB!$C$14:$C$76,C1248)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SUMIFS(RAB!$F$14:$F$76,RAB!$C$14:$C$76,C1249)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SUMIFS(RAB!$F$14:$F$76,RAB!$C$14:$C$76,C1250)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SUMIFS(RAB!$F$14:$F$76,RAB!$C$14:$C$76,C1251)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SUMIFS(RAB!$F$14:$F$76,RAB!$C$14:$C$76,C1252)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SUMIFS(RAB!$F$14:$F$76,RAB!$C$14:$C$76,C1253)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SUMIFS(RAB!$F$14:$F$76,RAB!$C$14:$C$76,C1254)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SUMIFS(RAB!$F$14:$F$76,RAB!$C$14:$C$76,C1255)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SUMIFS(RAB!$F$14:$F$76,RAB!$C$14:$C$76,C1256)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SUMIFS(RAB!$F$14:$F$76,RAB!$C$14:$C$76,C1257)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SUMIFS(RAB!$F$14:$F$76,RAB!$C$14:$C$76,C1258)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SUMIFS(RAB!$F$14:$F$76,RAB!$C$14:$C$76,C1259)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SUMIFS(RAB!$F$14:$F$76,RAB!$C$14:$C$76,C1260)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SUMIFS(RAB!$F$14:$F$76,RAB!$C$14:$C$76,C1261)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SUMIFS(RAB!$F$14:$F$76,RAB!$C$14:$C$76,C1262)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SUMIFS(RAB!$F$14:$F$76,RAB!$C$14:$C$76,C1263)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SUMIFS(RAB!$F$14:$F$76,RAB!$C$14:$C$76,C1264)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SUMIFS(RAB!$F$14:$F$76,RAB!$C$14:$C$76,C1265)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SUMIFS(RAB!$F$14:$F$76,RAB!$C$14:$C$76,C1266)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SUMIFS(RAB!$F$14:$F$76,RAB!$C$14:$C$76,C1267)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SUMIFS(RAB!$F$14:$F$76,RAB!$C$14:$C$76,C1268)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SUMIFS(RAB!$F$14:$F$76,RAB!$C$14:$C$76,C1269)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SUMIFS(RAB!$F$14:$F$76,RAB!$C$14:$C$76,C1270)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SUMIFS(RAB!$F$14:$F$76,RAB!$C$14:$C$76,C1271)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SUMIFS(RAB!$F$14:$F$76,RAB!$C$14:$C$76,C1272)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SUMIFS(RAB!$F$14:$F$76,RAB!$C$14:$C$76,C1273)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SUMIFS(RAB!$F$14:$F$76,RAB!$C$14:$C$76,C1274)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SUMIFS(RAB!$F$14:$F$76,RAB!$C$14:$C$76,C1275)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SUMIFS(RAB!$F$14:$F$76,RAB!$C$14:$C$76,C1276)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SUMIFS(RAB!$F$14:$F$76,RAB!$C$14:$C$76,C1277)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SUMIFS(RAB!$F$14:$F$76,RAB!$C$14:$C$76,C1278)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SUMIFS(RAB!$F$14:$F$76,RAB!$C$14:$C$76,C1279)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SUMIFS(RAB!$F$14:$F$76,RAB!$C$14:$C$76,C1280)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SUMIFS(RAB!$F$14:$F$76,RAB!$C$14:$C$76,C1281)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SUMIFS(RAB!$F$14:$F$76,RAB!$C$14:$C$76,C1282)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SUMIFS(RAB!$F$14:$F$76,RAB!$C$14:$C$76,C1283)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SUMIFS(RAB!$F$14:$F$76,RAB!$C$14:$C$76,C1284)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SUMIFS(RAB!$F$14:$F$76,RAB!$C$14:$C$76,C1285)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SUMIFS(RAB!$F$14:$F$76,RAB!$C$14:$C$76,C1286)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SUMIFS(RAB!$F$14:$F$76,RAB!$C$14:$C$76,C1287)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SUMIFS(RAB!$F$14:$F$76,RAB!$C$14:$C$76,C1288)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SUMIFS(RAB!$F$14:$F$76,RAB!$C$14:$C$76,C1289)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SUMIFS(RAB!$F$14:$F$76,RAB!$C$14:$C$76,C1290)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SUMIFS(RAB!$F$14:$F$76,RAB!$C$14:$C$76,C1291)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SUMIFS(RAB!$F$14:$F$76,RAB!$C$14:$C$76,C1292)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SUMIFS(RAB!$F$14:$F$76,RAB!$C$14:$C$76,C1293)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SUMIFS(RAB!$F$14:$F$76,RAB!$C$14:$C$76,C1294)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SUMIFS(RAB!$F$14:$F$76,RAB!$C$14:$C$76,C1295)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SUMIFS(RAB!$F$14:$F$76,RAB!$C$14:$C$76,C1296)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SUMIFS(RAB!$F$14:$F$76,RAB!$C$14:$C$76,C1297)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SUMIFS(RAB!$F$14:$F$76,RAB!$C$14:$C$76,C1298)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SUMIFS(RAB!$F$14:$F$76,RAB!$C$14:$C$76,C1299)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SUMIFS(RAB!$F$14:$F$76,RAB!$C$14:$C$76,C1300)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SUMIFS(RAB!$F$14:$F$76,RAB!$C$14:$C$76,C1301)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SUMIFS(RAB!$F$14:$F$76,RAB!$C$14:$C$76,C1302)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SUMIFS(RAB!$F$14:$F$76,RAB!$C$14:$C$76,C1303)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SUMIFS(RAB!$F$14:$F$76,RAB!$C$14:$C$76,C1304)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SUMIFS(RAB!$F$14:$F$76,RAB!$C$14:$C$76,C1305)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SUMIFS(RAB!$F$14:$F$76,RAB!$C$14:$C$76,C1306)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SUMIFS(RAB!$F$14:$F$76,RAB!$C$14:$C$76,C1307)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SUMIFS(RAB!$F$14:$F$76,RAB!$C$14:$C$76,C1308)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SUMIFS(RAB!$F$14:$F$76,RAB!$C$14:$C$76,C1309)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SUMIFS(RAB!$F$14:$F$76,RAB!$C$14:$C$76,C1310)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SUMIFS(RAB!$F$14:$F$76,RAB!$C$14:$C$76,C1311)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SUMIFS(RAB!$F$14:$F$76,RAB!$C$14:$C$76,C1312)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SUMIFS(RAB!$F$14:$F$76,RAB!$C$14:$C$76,C1313)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SUMIFS(RAB!$F$14:$F$76,RAB!$C$14:$C$76,C1314)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SUMIFS(RAB!$F$14:$F$76,RAB!$C$14:$C$76,C1315)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SUMIFS(RAB!$F$14:$F$76,RAB!$C$14:$C$76,C1316)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SUMIFS(RAB!$F$14:$F$76,RAB!$C$14:$C$76,C1317)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SUMIFS(RAB!$F$14:$F$76,RAB!$C$14:$C$76,C1318)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SUMIFS(RAB!$F$14:$F$76,RAB!$C$14:$C$76,C1319)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SUMIFS(RAB!$F$14:$F$76,RAB!$C$14:$C$76,C1320)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6" priority="5" operator="equal">
      <formula>0</formula>
    </cfRule>
  </conditionalFormatting>
  <conditionalFormatting sqref="A10:L65536">
    <cfRule type="cellIs" dxfId="45" priority="1" operator="equal">
      <formula>0</formula>
    </cfRule>
  </conditionalFormatting>
  <conditionalFormatting sqref="C12:C711">
    <cfRule type="cellIs" dxfId="44" priority="66" stopIfTrue="1" operator="equal">
      <formula>0</formula>
    </cfRule>
  </conditionalFormatting>
  <conditionalFormatting sqref="E712:E65536">
    <cfRule type="cellIs" dxfId="43" priority="16" stopIfTrue="1" operator="equal">
      <formula>0</formula>
    </cfRule>
  </conditionalFormatting>
  <conditionalFormatting sqref="G1:G11 E6:E11 E1:E3 H7 H10:H11 F10:F711 G712:G65536">
    <cfRule type="cellIs" dxfId="42" priority="69" stopIfTrue="1" operator="equal">
      <formula>0</formula>
    </cfRule>
  </conditionalFormatting>
  <conditionalFormatting sqref="G12:H711">
    <cfRule type="cellIs" dxfId="41" priority="12" stopIfTrue="1" operator="equal">
      <formula>0</formula>
    </cfRule>
  </conditionalFormatting>
  <conditionalFormatting sqref="I7:K7">
    <cfRule type="cellIs" dxfId="40" priority="4" stopIfTrue="1" operator="equal">
      <formula>0</formula>
    </cfRule>
  </conditionalFormatting>
  <conditionalFormatting sqref="I10:L711">
    <cfRule type="cellIs" dxfId="39" priority="2" stopIfTrue="1" operator="equal">
      <formula>0</formula>
    </cfRule>
  </conditionalFormatting>
  <conditionalFormatting sqref="L1:L6">
    <cfRule type="cellIs" dxfId="38" priority="10" operator="equal">
      <formula>0</formula>
    </cfRule>
  </conditionalFormatting>
  <conditionalFormatting sqref="M1:IV1048576 A8:G9">
    <cfRule type="cellIs" dxfId="3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4" t="str">
        <f>RAB!G6</f>
        <v>KLINIK UTAMA MUTIARA</v>
      </c>
      <c r="H6" s="524"/>
      <c r="I6" s="524"/>
      <c r="J6" s="524"/>
      <c r="K6" s="52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TEUKU UMAR MANGUNJIWAN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8" t="s">
        <v>41</v>
      </c>
      <c r="H11" s="537" t="s">
        <v>3</v>
      </c>
      <c r="I11" s="537"/>
      <c r="J11" s="537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27"/>
      <c r="E12" s="527"/>
      <c r="F12" s="527"/>
      <c r="G12" s="539"/>
      <c r="H12" s="529" t="s">
        <v>46</v>
      </c>
      <c r="I12" s="529" t="s">
        <v>5</v>
      </c>
      <c r="J12" s="527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27"/>
      <c r="E13" s="527"/>
      <c r="F13" s="527"/>
      <c r="G13" s="540"/>
      <c r="H13" s="530"/>
      <c r="I13" s="530"/>
      <c r="J13" s="527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5" t="s">
        <v>1008</v>
      </c>
      <c r="D38" s="525"/>
      <c r="E38" s="525"/>
      <c r="F38" s="525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26" t="s">
        <v>462</v>
      </c>
      <c r="D39" s="526"/>
      <c r="E39" s="526"/>
      <c r="F39" s="526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5" t="s">
        <v>463</v>
      </c>
      <c r="D40" s="515"/>
      <c r="E40" s="515"/>
      <c r="F40" s="515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18" t="e">
        <f ca="1">"Terbilang : ( "&amp;L42&amp;" Rupiah )"</f>
        <v>#NAME?</v>
      </c>
      <c r="C41" s="519"/>
      <c r="D41" s="519"/>
      <c r="E41" s="519"/>
      <c r="F41" s="519"/>
      <c r="G41" s="519"/>
      <c r="H41" s="519"/>
      <c r="I41" s="519"/>
      <c r="J41" s="519"/>
      <c r="K41" s="520"/>
      <c r="L41" s="44"/>
      <c r="R41" s="58"/>
      <c r="S41" s="58"/>
      <c r="T41" s="58"/>
    </row>
    <row r="42" spans="1:20" s="36" customFormat="1">
      <c r="A42" s="30"/>
      <c r="B42" s="521"/>
      <c r="C42" s="522"/>
      <c r="D42" s="522"/>
      <c r="E42" s="522"/>
      <c r="F42" s="522"/>
      <c r="G42" s="522"/>
      <c r="H42" s="522"/>
      <c r="I42" s="522"/>
      <c r="J42" s="522"/>
      <c r="K42" s="52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6"/>
      <c r="I45" s="516"/>
      <c r="J45" s="517"/>
      <c r="K45" s="51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6"/>
      <c r="I46" s="516"/>
      <c r="J46" s="517"/>
      <c r="K46" s="51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6"/>
      <c r="I47" s="516"/>
      <c r="J47" s="517"/>
      <c r="K47" s="51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6"/>
      <c r="I52" s="516"/>
      <c r="J52" s="517"/>
      <c r="K52" s="51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SUMIFS(RAB!$F$14:$F$76,RAB!$C$14:$C$76,'REKAP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SUMIFS(RAB!$F$14:$F$76,RAB!$C$14:$C$76,'REKAP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SUMIFS(RAB!$F$14:$F$76,RAB!$C$14:$C$76,'REKAP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SUMIFS(RAB!$F$14:$F$76,RAB!$C$14:$C$76,'REKAP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SUMIFS(RAB!$F$14:$F$76,RAB!$C$14:$C$76,'REKAP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SUMIFS(RAB!$F$14:$F$76,RAB!$C$14:$C$76,'REKAP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SUMIFS(RAB!$F$14:$F$76,RAB!$C$14:$C$76,'REKAP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SUMIFS(RAB!$F$14:$F$76,RAB!$C$14:$C$76,'REKAP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SUMIFS(RAB!$F$14:$F$76,RAB!$C$14:$C$76,'REKAP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SUMIFS(RAB!$F$14:$F$76,RAB!$C$14:$C$76,'REKAP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SUMIFS(RAB!$F$14:$F$76,RAB!$C$14:$C$76,'REKAP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SUMIFS(RAB!$F$14:$F$76,RAB!$C$14:$C$76,'REKAP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SUMIFS(RAB!$F$14:$F$76,RAB!$C$14:$C$76,'REKAP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SUMIFS(RAB!$F$14:$F$76,RAB!$C$14:$C$76,'REKAP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SUMIFS(RAB!$F$14:$F$76,RAB!$C$14:$C$76,'REKAP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SUMIFS(RAB!$F$14:$F$76,RAB!$C$14:$C$76,'REKAP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SUMIFS(RAB!$F$14:$F$76,RAB!$C$14:$C$76,'REKAP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SUMIFS(RAB!$F$14:$F$76,RAB!$C$14:$C$76,'REKAP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SUMIFS(RAB!$F$14:$F$76,RAB!$C$14:$C$76,'REKAP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SUMIFS(RAB!$F$14:$F$76,RAB!$C$14:$C$76,'REKAP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 activeCell="D209" sqref="D209"/>
      <selection pane="topRight" activeCell="D209" sqref="D209"/>
      <selection pane="bottomLeft" activeCell="D209" sqref="D209"/>
      <selection pane="bottomRight" activeCell="C16" sqref="C16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4" t="str">
        <f>RAB!G6</f>
        <v>KLINIK UTAMA MUTIARA</v>
      </c>
      <c r="H6" s="524"/>
      <c r="I6" s="524"/>
      <c r="J6" s="524"/>
      <c r="K6" s="52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TEUKU UMAR MANGUNJIWAN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8" t="s">
        <v>41</v>
      </c>
      <c r="H11" s="537" t="s">
        <v>3</v>
      </c>
      <c r="I11" s="537"/>
      <c r="J11" s="537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27"/>
      <c r="E12" s="527"/>
      <c r="F12" s="527"/>
      <c r="G12" s="539"/>
      <c r="H12" s="529" t="s">
        <v>46</v>
      </c>
      <c r="I12" s="529" t="s">
        <v>5</v>
      </c>
      <c r="J12" s="527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27"/>
      <c r="E13" s="527"/>
      <c r="F13" s="527"/>
      <c r="G13" s="540"/>
      <c r="H13" s="530"/>
      <c r="I13" s="530"/>
      <c r="J13" s="527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10.6 kVA MCCB 16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NFA2X-T 3x70+1x70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01">
        <f t="shared" ref="F17:F80" ca="1" si="6">IF(ISERROR(OFFSET($D$223,MATCH(A17,$F$224:$F$373,0),0)),"",OFFSET($D$223,MATCH(A17,$F$224:$F$373,0),0))</f>
        <v>300</v>
      </c>
      <c r="G17" s="41">
        <f ca="1">IF(ISERROR(OFFSET('HARGA SATUAN'!$I$6,MATCH(C17,'HARGA SATUAN'!$C$7:$C$1492,0),0)),"",OFFSET('HARGA SATUAN'!$I$6,MATCH(C17,'HARGA SATUAN'!$C$7:$C$1492,0),0))</f>
        <v>54500</v>
      </c>
      <c r="H17" s="42">
        <f t="shared" ca="1" si="1"/>
        <v>16350000</v>
      </c>
      <c r="I17" s="42">
        <f t="shared" ca="1" si="2"/>
        <v>0</v>
      </c>
      <c r="J17" s="42">
        <f t="shared" ca="1" si="3"/>
        <v>0</v>
      </c>
      <c r="K17" s="43">
        <f t="shared" ca="1" si="0"/>
        <v>16350000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35</v>
      </c>
      <c r="G18" s="41">
        <f ca="1">IF(ISERROR(OFFSET('HARGA SATUAN'!$I$6,MATCH(C18,'HARGA SATUAN'!$C$7:$C$1492,0),0)),"",OFFSET('HARGA SATUAN'!$I$6,MATCH(C18,'HARGA SATUAN'!$C$7:$C$1492,0),0))</f>
        <v>13500</v>
      </c>
      <c r="H18" s="42">
        <f t="shared" ca="1" si="1"/>
        <v>472500</v>
      </c>
      <c r="I18" s="42">
        <f t="shared" ca="1" si="2"/>
        <v>0</v>
      </c>
      <c r="J18" s="42">
        <f t="shared" ca="1" si="3"/>
        <v>0</v>
      </c>
      <c r="K18" s="43">
        <f t="shared" ca="1" si="0"/>
        <v>472500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5" t="s">
        <v>1008</v>
      </c>
      <c r="D168" s="525"/>
      <c r="E168" s="525"/>
      <c r="F168" s="525"/>
      <c r="G168" s="77" t="s">
        <v>9</v>
      </c>
      <c r="H168" s="55">
        <f ca="1">SUM(H14:H167)</f>
        <v>20387400</v>
      </c>
      <c r="I168" s="55">
        <f ca="1">SUM(I14:I167)</f>
        <v>0</v>
      </c>
      <c r="J168" s="55">
        <f ca="1">SUM(J14:J167)</f>
        <v>0</v>
      </c>
      <c r="K168" s="55">
        <f ca="1">SUM(K14:K167)</f>
        <v>20387400</v>
      </c>
      <c r="L168" s="44"/>
      <c r="R168" s="99"/>
      <c r="S168" s="99"/>
      <c r="T168" s="99"/>
    </row>
    <row r="169" spans="1:20" s="36" customFormat="1">
      <c r="A169" s="30"/>
      <c r="B169" s="56"/>
      <c r="C169" s="526" t="s">
        <v>462</v>
      </c>
      <c r="D169" s="526"/>
      <c r="E169" s="526"/>
      <c r="F169" s="526"/>
      <c r="G169" s="59" t="s">
        <v>9</v>
      </c>
      <c r="H169" s="60">
        <f ca="1">H168*0.1</f>
        <v>2038740</v>
      </c>
      <c r="I169" s="60">
        <f ca="1">I168*0.1</f>
        <v>0</v>
      </c>
      <c r="J169" s="60">
        <f ca="1">J168*0.1</f>
        <v>0</v>
      </c>
      <c r="K169" s="60">
        <f ca="1">K168*0.1</f>
        <v>2038740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5" t="s">
        <v>463</v>
      </c>
      <c r="D170" s="515"/>
      <c r="E170" s="515"/>
      <c r="F170" s="515"/>
      <c r="G170" s="61" t="s">
        <v>9</v>
      </c>
      <c r="H170" s="78">
        <f ca="1">SUM(H168:H169)</f>
        <v>22426140</v>
      </c>
      <c r="I170" s="78">
        <f ca="1">SUM(I168:I169)</f>
        <v>0</v>
      </c>
      <c r="J170" s="61">
        <f ca="1">SUM(J168:J169)</f>
        <v>0</v>
      </c>
      <c r="K170" s="61">
        <f ca="1">SUM(K168:K169)</f>
        <v>22426140</v>
      </c>
      <c r="L170" s="44"/>
      <c r="R170" s="99"/>
      <c r="S170" s="99"/>
      <c r="T170" s="99"/>
    </row>
    <row r="171" spans="1:20" s="36" customFormat="1">
      <c r="A171" s="30"/>
      <c r="B171" s="518" t="e">
        <f ca="1">"Terbilang : ( "&amp;L172&amp;" Rupiah )"</f>
        <v>#NAME?</v>
      </c>
      <c r="C171" s="519"/>
      <c r="D171" s="519"/>
      <c r="E171" s="519"/>
      <c r="F171" s="519"/>
      <c r="G171" s="519"/>
      <c r="H171" s="519"/>
      <c r="I171" s="519"/>
      <c r="J171" s="519"/>
      <c r="K171" s="520"/>
      <c r="L171" s="44"/>
      <c r="R171" s="58"/>
      <c r="S171" s="58"/>
      <c r="T171" s="58"/>
    </row>
    <row r="172" spans="1:20" s="36" customFormat="1">
      <c r="A172" s="30"/>
      <c r="B172" s="521"/>
      <c r="C172" s="522"/>
      <c r="D172" s="522"/>
      <c r="E172" s="522"/>
      <c r="F172" s="522"/>
      <c r="G172" s="522"/>
      <c r="H172" s="522"/>
      <c r="I172" s="522"/>
      <c r="J172" s="522"/>
      <c r="K172" s="52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6"/>
      <c r="I175" s="516"/>
      <c r="J175" s="517"/>
      <c r="K175" s="51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6"/>
      <c r="I176" s="516"/>
      <c r="J176" s="517"/>
      <c r="K176" s="51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6"/>
      <c r="I177" s="516"/>
      <c r="J177" s="517"/>
      <c r="K177" s="51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6"/>
      <c r="I182" s="516"/>
      <c r="J182" s="517"/>
      <c r="K182" s="51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SUMIFS(RAB!$F$14:$F$76,RAB!$C$14:$C$76,C224)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SUMIFS(RAB!$F$14:$F$76,RAB!$C$14:$C$76,C225)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SUMIFS(RAB!$F$14:$F$76,RAB!$C$14:$C$76,C226)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SUMIFS(RAB!$F$14:$F$76,RAB!$C$14:$C$76,C227)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SUMIFS(RAB!$F$14:$F$76,RAB!$C$14:$C$76,C228)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SUMIFS(RAB!$F$14:$F$76,RAB!$C$14:$C$76,C229)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SUMIFS(RAB!$F$14:$F$76,RAB!$C$14:$C$76,C230)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SUMIFS(RAB!$F$14:$F$76,RAB!$C$14:$C$76,C231)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SUMIFS(RAB!$F$14:$F$76,RAB!$C$14:$C$76,C232)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SUMIFS(RAB!$F$14:$F$76,RAB!$C$14:$C$76,C233)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SUMIFS(RAB!$F$14:$F$76,RAB!$C$14:$C$76,C234)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SUMIFS(RAB!$F$14:$F$76,RAB!$C$14:$C$76,C235)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SUMIFS(RAB!$F$14:$F$76,RAB!$C$14:$C$76,C236)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SUMIFS(RAB!$F$14:$F$76,RAB!$C$14:$C$76,C237)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SUMIFS(RAB!$F$14:$F$76,RAB!$C$14:$C$76,C238)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SUMIFS(RAB!$F$14:$F$76,RAB!$C$14:$C$76,C239)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SUMIFS(RAB!$F$14:$F$76,RAB!$C$14:$C$76,C240)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SUMIFS(RAB!$F$14:$F$76,RAB!$C$14:$C$76,C241)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SUMIFS(RAB!$F$14:$F$76,RAB!$C$14:$C$76,C242)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SUMIFS(RAB!$F$14:$F$76,RAB!$C$14:$C$76,C243)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SUMIFS(RAB!$F$14:$F$76,RAB!$C$14:$C$76,C244)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SUMIFS(RAB!$F$14:$F$76,RAB!$C$14:$C$76,C245)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SUMIFS(RAB!$F$14:$F$76,RAB!$C$14:$C$76,C246)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SUMIFS(RAB!$F$14:$F$76,RAB!$C$14:$C$76,C247)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SUMIFS(RAB!$F$14:$F$76,RAB!$C$14:$C$76,C248)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SUMIFS(RAB!$F$14:$F$76,RAB!$C$14:$C$76,C249)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SUMIFS(RAB!$F$14:$F$76,RAB!$C$14:$C$76,C250)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SUMIFS(RAB!$F$14:$F$76,RAB!$C$14:$C$76,C251)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SUMIFS(RAB!$F$14:$F$76,RAB!$C$14:$C$76,C252)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SUMIFS(RAB!$F$14:$F$76,RAB!$C$14:$C$76,C253)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SUMIFS(RAB!$F$14:$F$76,RAB!$C$14:$C$76,C254)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SUMIFS(RAB!$F$14:$F$76,RAB!$C$14:$C$76,C255)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SUMIFS(RAB!$F$14:$F$76,RAB!$C$14:$C$76,C256)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SUMIFS(RAB!$F$14:$F$76,RAB!$C$14:$C$76,C257)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SUMIFS(RAB!$F$14:$F$76,RAB!$C$14:$C$76,C258)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SUMIFS(RAB!$F$14:$F$76,RAB!$C$14:$C$76,C259)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SUMIFS(RAB!$F$14:$F$76,RAB!$C$14:$C$76,C260)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SUMIFS(RAB!$F$14:$F$76,RAB!$C$14:$C$76,C261)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SUMIFS(RAB!$F$14:$F$76,RAB!$C$14:$C$76,C262)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SUMIFS(RAB!$F$14:$F$76,RAB!$C$14:$C$76,C263)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SUMIFS(RAB!$F$14:$F$76,RAB!$C$14:$C$76,C264)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SUMIFS(RAB!$F$14:$F$76,RAB!$C$14:$C$76,C265)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SUMIFS(RAB!$F$14:$F$76,RAB!$C$14:$C$76,C266)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SUMIFS(RAB!$F$14:$F$76,RAB!$C$14:$C$76,C267)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SUMIFS(RAB!$F$14:$F$76,RAB!$C$14:$C$76,C268)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SUMIFS(RAB!$F$14:$F$76,RAB!$C$14:$C$76,C269)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SUMIFS(RAB!$F$14:$F$76,RAB!$C$14:$C$76,C270)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SUMIFS(RAB!$F$14:$F$76,RAB!$C$14:$C$76,C271)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SUMIFS(RAB!$F$14:$F$76,RAB!$C$14:$C$76,C272)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SUMIFS(RAB!$F$14:$F$76,RAB!$C$14:$C$76,C273)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SUMIFS(RAB!$F$14:$F$76,RAB!$C$14:$C$76,C274)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SUMIFS(RAB!$F$14:$F$76,RAB!$C$14:$C$76,C275)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SUMIFS(RAB!$F$14:$F$76,RAB!$C$14:$C$76,C276)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SUMIFS(RAB!$F$14:$F$76,RAB!$C$14:$C$76,C277)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SUMIFS(RAB!$F$14:$F$76,RAB!$C$14:$C$76,C278)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SUMIFS(RAB!$F$14:$F$76,RAB!$C$14:$C$76,C279)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SUMIFS(RAB!$F$14:$F$76,RAB!$C$14:$C$76,C280)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SUMIFS(RAB!$F$14:$F$76,RAB!$C$14:$C$76,C281)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SUMIFS(RAB!$F$14:$F$76,RAB!$C$14:$C$76,C282)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SUMIFS(RAB!$F$14:$F$76,RAB!$C$14:$C$76,C283)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SUMIFS(RAB!$F$14:$F$76,RAB!$C$14:$C$76,C284)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SUMIFS(RAB!$F$14:$F$76,RAB!$C$14:$C$76,C285)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SUMIFS(RAB!$F$14:$F$76,RAB!$C$14:$C$76,C286)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SUMIFS(RAB!$F$14:$F$76,RAB!$C$14:$C$76,C287)</f>
        <v>1</v>
      </c>
      <c r="E287" s="24">
        <f t="shared" ca="1" si="21"/>
        <v>1</v>
      </c>
      <c r="F287" s="24">
        <f ca="1">IF(D287=0,0,SUM($E$223:E287))</f>
        <v>1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SUMIFS(RAB!$F$14:$F$76,RAB!$C$14:$C$76,C288)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SUMIFS(RAB!$F$14:$F$76,RAB!$C$14:$C$76,C289)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SUMIFS(RAB!$F$14:$F$76,RAB!$C$14:$C$76,C290)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SUMIFS(RAB!$F$14:$F$76,RAB!$C$14:$C$76,C291)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SUMIFS(RAB!$F$14:$F$76,RAB!$C$14:$C$76,C292)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SUMIFS(RAB!$F$14:$F$76,RAB!$C$14:$C$76,C293)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SUMIFS(RAB!$F$14:$F$76,RAB!$C$14:$C$76,C294)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SUMIFS(RAB!$F$14:$F$76,RAB!$C$14:$C$76,C295)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SUMIFS(RAB!$F$14:$F$76,RAB!$C$14:$C$76,C296)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SUMIFS(RAB!$F$14:$F$76,RAB!$C$14:$C$76,C297)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SUMIFS(RAB!$F$14:$F$76,RAB!$C$14:$C$76,C298)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SUMIFS(RAB!$F$14:$F$76,RAB!$C$14:$C$76,C299)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SUMIFS(RAB!$F$14:$F$76,RAB!$C$14:$C$76,C300)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SUMIFS(RAB!$F$14:$F$76,RAB!$C$14:$C$76,C301)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SUMIFS(RAB!$F$14:$F$76,RAB!$C$14:$C$76,C302)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SUMIFS(RAB!$F$14:$F$76,RAB!$C$14:$C$76,C303)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SUMIFS(RAB!$F$14:$F$76,RAB!$C$14:$C$76,C304)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SUMIFS(RAB!$F$14:$F$76,RAB!$C$14:$C$76,C305)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SUMIFS(RAB!$F$14:$F$76,RAB!$C$14:$C$76,C306)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SUMIFS(RAB!$F$14:$F$76,RAB!$C$14:$C$76,C307)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SUMIFS(RAB!$F$14:$F$76,RAB!$C$14:$C$76,C308)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SUMIFS(RAB!$F$14:$F$76,RAB!$C$14:$C$76,C309)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SUMIFS(RAB!$F$14:$F$76,RAB!$C$14:$C$76,C310)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SUMIFS(RAB!$F$14:$F$76,RAB!$C$14:$C$76,C311)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SUMIFS(RAB!$F$14:$F$76,RAB!$C$14:$C$76,C312)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SUMIFS(RAB!$F$14:$F$76,RAB!$C$14:$C$76,C313)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SUMIFS(RAB!$F$14:$F$76,RAB!$C$14:$C$76,C314)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SUMIFS(RAB!$F$14:$F$76,RAB!$C$14:$C$76,C315)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SUMIFS(RAB!$F$14:$F$76,RAB!$C$14:$C$76,C316)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SUMIFS(RAB!$F$14:$F$76,RAB!$C$14:$C$76,C317)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SUMIFS(RAB!$F$14:$F$76,RAB!$C$14:$C$76,C318)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SUMIFS(RAB!$F$14:$F$76,RAB!$C$14:$C$76,C319)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SUMIFS(RAB!$F$14:$F$76,RAB!$C$14:$C$76,C320)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SUMIFS(RAB!$F$14:$F$76,RAB!$C$14:$C$76,C321)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SUMIFS(RAB!$F$14:$F$76,RAB!$C$14:$C$76,C322)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SUMIFS(RAB!$F$14:$F$76,RAB!$C$14:$C$76,C323)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SUMIFS(RAB!$F$14:$F$76,RAB!$C$14:$C$76,C324)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SUMIFS(RAB!$F$14:$F$76,RAB!$C$14:$C$76,C325)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SUMIFS(RAB!$F$14:$F$76,RAB!$C$14:$C$76,C326)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SUMIFS(RAB!$F$14:$F$76,RAB!$C$14:$C$76,C327)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SUMIFS(RAB!$F$14:$F$76,RAB!$C$14:$C$76,C328)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SUMIFS(RAB!$F$14:$F$76,RAB!$C$14:$C$76,C329)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SUMIFS(RAB!$F$14:$F$76,RAB!$C$14:$C$76,C330)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SUMIFS(RAB!$F$14:$F$76,RAB!$C$14:$C$76,C331)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SUMIFS(RAB!$F$14:$F$76,RAB!$C$14:$C$76,C332)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SUMIFS(RAB!$F$14:$F$76,RAB!$C$14:$C$76,C333)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SUMIFS(RAB!$F$14:$F$76,RAB!$C$14:$C$76,C334)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SUMIFS(RAB!$F$14:$F$76,RAB!$C$14:$C$76,C335)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SUMIFS(RAB!$F$14:$F$76,RAB!$C$14:$C$76,C336)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SUMIFS(RAB!$F$14:$F$76,RAB!$C$14:$C$76,C337)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SUMIFS(RAB!$F$14:$F$76,RAB!$C$14:$C$76,C338)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SUMIFS(RAB!$F$14:$F$76,RAB!$C$14:$C$76,C339)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SUMIFS(RAB!$F$14:$F$76,RAB!$C$14:$C$76,C340)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SUMIFS(RAB!$F$14:$F$76,RAB!$C$14:$C$76,C341)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SUMIFS(RAB!$F$14:$F$76,RAB!$C$14:$C$76,C342)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SUMIFS(RAB!$F$14:$F$76,RAB!$C$14:$C$76,C343)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SUMIFS(RAB!$F$14:$F$76,RAB!$C$14:$C$76,C344)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SUMIFS(RAB!$F$14:$F$76,RAB!$C$14:$C$76,C345)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SUMIFS(RAB!$F$14:$F$76,RAB!$C$14:$C$76,C346)</f>
        <v>300</v>
      </c>
      <c r="E346" s="24">
        <f t="shared" ca="1" si="22"/>
        <v>1</v>
      </c>
      <c r="F346" s="24">
        <f ca="1">IF(D346=0,0,SUM($E$223:E346))</f>
        <v>2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SUMIFS(RAB!$F$14:$F$76,RAB!$C$14:$C$76,C347)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SUMIFS(RAB!$F$14:$F$76,RAB!$C$14:$C$76,C348)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SUMIFS(RAB!$F$14:$F$76,RAB!$C$14:$C$76,C349)</f>
        <v>35</v>
      </c>
      <c r="E349" s="24">
        <f t="shared" ca="1" si="22"/>
        <v>1</v>
      </c>
      <c r="F349" s="24">
        <f ca="1">IF(D349=0,0,SUM($E$223:E349))</f>
        <v>3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SUMIFS(RAB!$F$14:$F$76,RAB!$C$14:$C$76,C350)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SUMIFS(RAB!$F$14:$F$76,RAB!$C$14:$C$76,C351)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SUMIFS(RAB!$F$14:$F$76,RAB!$C$14:$C$76,C352)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SUMIFS(RAB!$F$14:$F$76,RAB!$C$14:$C$76,C353)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SUMIFS(RAB!$F$14:$F$76,RAB!$C$14:$C$76,C354)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SUMIFS(RAB!$F$14:$F$76,RAB!$C$14:$C$76,C355)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SUMIFS(RAB!$F$14:$F$76,RAB!$C$14:$C$76,C356)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SUMIFS(RAB!$F$14:$F$76,RAB!$C$14:$C$76,C357)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SUMIFS(RAB!$F$14:$F$76,RAB!$C$14:$C$76,C358)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SUMIFS(RAB!$F$14:$F$76,RAB!$C$14:$C$76,C359)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SUMIFS(RAB!$F$14:$F$76,RAB!$C$14:$C$76,C360)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SUMIFS(RAB!$F$14:$F$76,RAB!$C$14:$C$76,C361)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SUMIFS(RAB!$F$14:$F$76,RAB!$C$14:$C$76,C362)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SUMIFS(RAB!$F$14:$F$76,RAB!$C$14:$C$76,C363)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SUMIFS(RAB!$F$14:$F$76,RAB!$C$14:$C$76,C364)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SUMIFS(RAB!$F$14:$F$76,RAB!$C$14:$C$76,C365)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SUMIFS(RAB!$F$14:$F$76,RAB!$C$14:$C$76,C366)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SUMIFS(RAB!$F$14:$F$76,RAB!$C$14:$C$76,C367)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SUMIFS(RAB!$F$14:$F$76,RAB!$C$14:$C$76,C368)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SUMIFS(RAB!$F$14:$F$76,RAB!$C$14:$C$76,C369)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SUMIFS(RAB!$F$14:$F$76,RAB!$C$14:$C$76,C370)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SUMIFS(RAB!$F$14:$F$76,RAB!$C$14:$C$76,C371)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SUMIFS(RAB!$F$14:$F$76,RAB!$C$14:$C$76,C372)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SUMIFS(RAB!$F$14:$F$76,RAB!$C$14:$C$76,C373)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4" priority="5" operator="equal">
      <formula>0</formula>
    </cfRule>
  </conditionalFormatting>
  <conditionalFormatting sqref="C16:C165">
    <cfRule type="cellIs" dxfId="33" priority="4" stopIfTrue="1" operator="equal">
      <formula>0</formula>
    </cfRule>
  </conditionalFormatting>
  <conditionalFormatting sqref="C16:E165">
    <cfRule type="cellIs" dxfId="32" priority="1" operator="equal">
      <formula>0</formula>
    </cfRule>
  </conditionalFormatting>
  <conditionalFormatting sqref="D224:F373">
    <cfRule type="cellIs" dxfId="31" priority="8" operator="equal">
      <formula>0</formula>
    </cfRule>
  </conditionalFormatting>
  <conditionalFormatting sqref="E1:E3 G1:G115 E6:E15 H12:I12 N13 F14:F15 H14:K115 E166:K166 G166:G223 E167:F167 H167:K167">
    <cfRule type="cellIs" dxfId="30" priority="43" stopIfTrue="1" operator="equal">
      <formula>0</formula>
    </cfRule>
  </conditionalFormatting>
  <conditionalFormatting sqref="E171:E65536">
    <cfRule type="cellIs" dxfId="29" priority="9" stopIfTrue="1" operator="equal">
      <formula>0</formula>
    </cfRule>
  </conditionalFormatting>
  <conditionalFormatting sqref="G224">
    <cfRule type="cellIs" dxfId="28" priority="10" operator="equal">
      <formula>0</formula>
    </cfRule>
  </conditionalFormatting>
  <conditionalFormatting sqref="G225:G65536">
    <cfRule type="cellIs" dxfId="27" priority="14" stopIfTrue="1" operator="equal">
      <formula>0</formula>
    </cfRule>
  </conditionalFormatting>
  <conditionalFormatting sqref="R14:T166 G116:K165">
    <cfRule type="cellIs" dxfId="2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3" t="s">
        <v>41</v>
      </c>
      <c r="C2" s="54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4" t="s">
        <v>23</v>
      </c>
      <c r="C4" s="545" t="s">
        <v>1012</v>
      </c>
      <c r="D4" s="545" t="s">
        <v>42</v>
      </c>
      <c r="E4" s="544" t="s">
        <v>43</v>
      </c>
      <c r="F4" s="108" t="s">
        <v>1604</v>
      </c>
      <c r="G4" s="108" t="s">
        <v>1603</v>
      </c>
      <c r="H4" s="54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4"/>
      <c r="C5" s="545"/>
      <c r="D5" s="545"/>
      <c r="E5" s="544"/>
      <c r="F5" s="93"/>
      <c r="G5" s="93"/>
      <c r="H5" s="542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5" priority="138" operator="equal">
      <formula>0</formula>
    </cfRule>
  </conditionalFormatting>
  <conditionalFormatting sqref="B8:C135">
    <cfRule type="cellIs" dxfId="24" priority="51" operator="equal">
      <formula>0</formula>
    </cfRule>
  </conditionalFormatting>
  <conditionalFormatting sqref="B150:G1493">
    <cfRule type="cellIs" dxfId="23" priority="1" operator="equal">
      <formula>0</formula>
    </cfRule>
  </conditionalFormatting>
  <conditionalFormatting sqref="C143:G149">
    <cfRule type="cellIs" dxfId="22" priority="5" operator="equal">
      <formula>0</formula>
    </cfRule>
  </conditionalFormatting>
  <conditionalFormatting sqref="D9:G142">
    <cfRule type="cellIs" dxfId="21" priority="11" operator="equal">
      <formula>0</formula>
    </cfRule>
  </conditionalFormatting>
  <conditionalFormatting sqref="D1:IV5 A1:C7 D6:K6 H1455:IV1457 H1458:XFD1485 H1486:H1493 I1486:XFD1494 A1494:H1494 A1495:XFD65536">
    <cfRule type="cellIs" dxfId="20" priority="163" operator="equal">
      <formula>0</formula>
    </cfRule>
  </conditionalFormatting>
  <conditionalFormatting sqref="D7:IV8 C136:C142 B136:B149">
    <cfRule type="cellIs" dxfId="19" priority="62" operator="equal">
      <formula>0</formula>
    </cfRule>
  </conditionalFormatting>
  <conditionalFormatting sqref="H9:H1418">
    <cfRule type="cellIs" dxfId="18" priority="129" operator="equal">
      <formula>0</formula>
    </cfRule>
  </conditionalFormatting>
  <conditionalFormatting sqref="H1419:I1454">
    <cfRule type="cellIs" dxfId="17" priority="128" operator="equal">
      <formula>0</formula>
    </cfRule>
  </conditionalFormatting>
  <conditionalFormatting sqref="I108:I1418">
    <cfRule type="cellIs" dxfId="16" priority="125" operator="equal">
      <formula>0</formula>
    </cfRule>
  </conditionalFormatting>
  <conditionalFormatting sqref="J108:IV1454">
    <cfRule type="cellIs" dxfId="15" priority="139" operator="equal">
      <formula>0</formula>
    </cfRule>
  </conditionalFormatting>
  <conditionalFormatting sqref="M6:IV6">
    <cfRule type="cellIs" dxfId="1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M16" sqref="M1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0" t="s">
        <v>1454</v>
      </c>
      <c r="C2" s="550"/>
      <c r="D2" s="550"/>
      <c r="E2" s="550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55" t="s">
        <v>1532</v>
      </c>
      <c r="C4" s="556"/>
      <c r="D4" s="556"/>
      <c r="E4" s="557"/>
      <c r="F4" s="431"/>
      <c r="G4" s="431"/>
      <c r="H4" s="432"/>
      <c r="I4" s="582" t="s">
        <v>1533</v>
      </c>
      <c r="J4" s="583"/>
      <c r="K4" s="583"/>
      <c r="L4" s="584"/>
    </row>
    <row r="5" spans="1:12" ht="34.5" customHeight="1">
      <c r="A5" s="204"/>
      <c r="B5" s="434" t="s">
        <v>1379</v>
      </c>
      <c r="C5" s="274" t="s">
        <v>9</v>
      </c>
      <c r="D5" s="551" t="str">
        <f>DATA!D14</f>
        <v>KLINIK UTAMA MUTIARA</v>
      </c>
      <c r="E5" s="552"/>
      <c r="F5" s="208"/>
      <c r="G5" s="208"/>
      <c r="I5" s="435" t="s">
        <v>1379</v>
      </c>
      <c r="J5" s="274" t="s">
        <v>9</v>
      </c>
      <c r="K5" s="585" t="str">
        <f>D5</f>
        <v>KLINIK UTAMA MUTIARA</v>
      </c>
      <c r="L5" s="586"/>
    </row>
    <row r="6" spans="1:12" ht="31.5" customHeight="1">
      <c r="A6" s="204"/>
      <c r="B6" s="434" t="s">
        <v>1529</v>
      </c>
      <c r="C6" s="274" t="s">
        <v>9</v>
      </c>
      <c r="D6" s="560">
        <f>DATA!D17*1000</f>
        <v>5500</v>
      </c>
      <c r="E6" s="561"/>
      <c r="F6" s="208"/>
      <c r="G6" s="208"/>
      <c r="I6" s="435" t="s">
        <v>1530</v>
      </c>
      <c r="J6" s="274" t="s">
        <v>9</v>
      </c>
      <c r="K6" s="587">
        <f>DATA!D20*1000</f>
        <v>10600</v>
      </c>
      <c r="L6" s="588"/>
    </row>
    <row r="7" spans="1:12" ht="30.75" customHeight="1">
      <c r="A7" s="204"/>
      <c r="B7" s="434" t="s">
        <v>1441</v>
      </c>
      <c r="C7" s="274" t="s">
        <v>9</v>
      </c>
      <c r="D7" s="558">
        <f>DATA!D18</f>
        <v>1</v>
      </c>
      <c r="E7" s="559"/>
      <c r="F7" s="433" t="s">
        <v>1453</v>
      </c>
      <c r="I7" s="435" t="s">
        <v>1441</v>
      </c>
      <c r="J7" s="274" t="s">
        <v>9</v>
      </c>
      <c r="K7" s="589">
        <f>DATA!D21</f>
        <v>1</v>
      </c>
      <c r="L7" s="590"/>
    </row>
    <row r="8" spans="1:12" ht="51" customHeight="1">
      <c r="A8" s="204"/>
      <c r="B8" s="434" t="s">
        <v>1442</v>
      </c>
      <c r="C8" s="274" t="s">
        <v>9</v>
      </c>
      <c r="D8" s="558">
        <f>DATA!D19</f>
        <v>220</v>
      </c>
      <c r="E8" s="559"/>
      <c r="F8" s="433" t="s">
        <v>1453</v>
      </c>
      <c r="G8" s="428">
        <v>220</v>
      </c>
      <c r="I8" s="435" t="s">
        <v>1442</v>
      </c>
      <c r="J8" s="274" t="s">
        <v>9</v>
      </c>
      <c r="K8" s="589">
        <f>DATA!D22</f>
        <v>220</v>
      </c>
      <c r="L8" s="590"/>
    </row>
    <row r="9" spans="1:12" ht="30" customHeight="1" thickBot="1">
      <c r="A9" s="204"/>
      <c r="B9" s="440" t="s">
        <v>1541</v>
      </c>
      <c r="C9" s="430" t="s">
        <v>9</v>
      </c>
      <c r="D9" s="553">
        <f>IF(D7=1,D6/(380/3^0.5),(D6/(380*3^0.5)))</f>
        <v>25.069156425339013</v>
      </c>
      <c r="E9" s="554"/>
      <c r="F9" s="207"/>
      <c r="G9" s="429">
        <v>380</v>
      </c>
      <c r="I9" s="441" t="s">
        <v>1541</v>
      </c>
      <c r="J9" s="430" t="s">
        <v>9</v>
      </c>
      <c r="K9" s="591">
        <f>IF(K7=1,K6/(380/3^0.5),(K6/(380*3^0.5)))</f>
        <v>48.315101474289733</v>
      </c>
      <c r="L9" s="592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62" t="s">
        <v>1617</v>
      </c>
      <c r="E12" s="563"/>
      <c r="F12" s="208"/>
      <c r="G12" s="208"/>
      <c r="I12" s="457" t="s">
        <v>1534</v>
      </c>
      <c r="J12" s="458" t="s">
        <v>9</v>
      </c>
      <c r="K12" s="562" t="str">
        <f>D12</f>
        <v>SYG07-91/4</v>
      </c>
      <c r="L12" s="563"/>
    </row>
    <row r="13" spans="1:12" ht="31.5" customHeight="1">
      <c r="A13" s="204"/>
      <c r="B13" s="465" t="s">
        <v>1380</v>
      </c>
      <c r="C13" s="445" t="s">
        <v>9</v>
      </c>
      <c r="D13" s="566" t="s">
        <v>1618</v>
      </c>
      <c r="E13" s="567"/>
      <c r="F13" s="208"/>
      <c r="G13" s="208"/>
      <c r="I13" s="459" t="s">
        <v>1380</v>
      </c>
      <c r="J13" s="445" t="s">
        <v>9</v>
      </c>
      <c r="K13" s="566" t="str">
        <f>D13</f>
        <v>SYG 07</v>
      </c>
      <c r="L13" s="567"/>
    </row>
    <row r="14" spans="1:12" ht="30.75" customHeight="1">
      <c r="A14" s="204"/>
      <c r="B14" s="465" t="s">
        <v>1535</v>
      </c>
      <c r="C14" s="445" t="s">
        <v>9</v>
      </c>
      <c r="D14" s="574">
        <v>50</v>
      </c>
      <c r="E14" s="575"/>
      <c r="F14" s="433" t="s">
        <v>1453</v>
      </c>
      <c r="G14" s="437">
        <v>50</v>
      </c>
      <c r="I14" s="459" t="s">
        <v>1535</v>
      </c>
      <c r="J14" s="445" t="s">
        <v>9</v>
      </c>
      <c r="K14" s="576">
        <v>50</v>
      </c>
      <c r="L14" s="577"/>
    </row>
    <row r="15" spans="1:12" ht="57" customHeight="1">
      <c r="A15" s="204"/>
      <c r="B15" s="465" t="s">
        <v>1441</v>
      </c>
      <c r="C15" s="445" t="s">
        <v>9</v>
      </c>
      <c r="D15" s="451">
        <v>3</v>
      </c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78">
        <v>35</v>
      </c>
      <c r="E16" s="579"/>
      <c r="F16" s="433"/>
      <c r="G16" s="437">
        <v>160</v>
      </c>
      <c r="I16" s="459" t="s">
        <v>1537</v>
      </c>
      <c r="J16" s="445" t="s">
        <v>9</v>
      </c>
      <c r="K16" s="580">
        <f>K9</f>
        <v>48.315101474289733</v>
      </c>
      <c r="L16" s="581"/>
    </row>
    <row r="17" spans="1:12" ht="34.5" customHeight="1">
      <c r="A17" s="204"/>
      <c r="B17" s="465" t="s">
        <v>1538</v>
      </c>
      <c r="C17" s="445" t="s">
        <v>9</v>
      </c>
      <c r="D17" s="568">
        <f>IF(D15=1,D14/(20/3^0.5),(D14/(20*3^0.5)))</f>
        <v>1.4433756729740645</v>
      </c>
      <c r="E17" s="569"/>
      <c r="F17" s="433" t="s">
        <v>1453</v>
      </c>
      <c r="G17" s="438">
        <v>200</v>
      </c>
      <c r="I17" s="459" t="s">
        <v>1538</v>
      </c>
      <c r="J17" s="445" t="s">
        <v>9</v>
      </c>
      <c r="K17" s="572">
        <f>IF(K15=1,K14/(20/3^0.5),(K14/(20*3^0.5)))</f>
        <v>1.4433756729740645</v>
      </c>
      <c r="L17" s="573"/>
    </row>
    <row r="18" spans="1:12" ht="34.5" customHeight="1">
      <c r="A18" s="204"/>
      <c r="B18" s="465" t="s">
        <v>1539</v>
      </c>
      <c r="C18" s="445" t="s">
        <v>9</v>
      </c>
      <c r="D18" s="568">
        <f>IF(D15=1,D14/(380/3^0.5),(D14/(380*3^0.5)))*1000</f>
        <v>75.96714068284551</v>
      </c>
      <c r="E18" s="569"/>
      <c r="F18" s="433" t="s">
        <v>1453</v>
      </c>
      <c r="G18" s="438">
        <v>250</v>
      </c>
      <c r="I18" s="459" t="s">
        <v>1539</v>
      </c>
      <c r="J18" s="445" t="s">
        <v>9</v>
      </c>
      <c r="K18" s="572">
        <f>IF(K15=1,K14/(380/3^0.5),(K14/(380*3^0.5)))*1000</f>
        <v>75.96714068284551</v>
      </c>
      <c r="L18" s="573"/>
    </row>
    <row r="19" spans="1:12" ht="30" customHeight="1">
      <c r="A19" s="204"/>
      <c r="B19" s="466" t="s">
        <v>1531</v>
      </c>
      <c r="C19" s="444" t="s">
        <v>9</v>
      </c>
      <c r="D19" s="568">
        <f>IF(D15=1,D14/(380/3^0.5),(D14/(380*3^0.5)))</f>
        <v>7.5967140682845505E-2</v>
      </c>
      <c r="E19" s="569"/>
      <c r="F19" s="207"/>
      <c r="G19" s="429"/>
      <c r="I19" s="461" t="s">
        <v>1531</v>
      </c>
      <c r="J19" s="444" t="s">
        <v>9</v>
      </c>
      <c r="K19" s="572">
        <f>IF(K15=1,K14/(380/3^0.5),(K14/(380*3^0.5)))</f>
        <v>7.5967140682845505E-2</v>
      </c>
      <c r="L19" s="573"/>
    </row>
    <row r="20" spans="1:12" ht="30" customHeight="1" thickBot="1">
      <c r="A20" s="204"/>
      <c r="B20" s="467" t="s">
        <v>1540</v>
      </c>
      <c r="C20" s="463" t="s">
        <v>9</v>
      </c>
      <c r="D20" s="564">
        <f>D16/D18</f>
        <v>0.46072551481332125</v>
      </c>
      <c r="E20" s="565"/>
      <c r="F20" s="207"/>
      <c r="G20" s="429"/>
      <c r="I20" s="462" t="s">
        <v>1531</v>
      </c>
      <c r="J20" s="463" t="s">
        <v>9</v>
      </c>
      <c r="K20" s="570">
        <f>K16/K18</f>
        <v>0.6359999999999999</v>
      </c>
      <c r="L20" s="571"/>
    </row>
    <row r="21" spans="1:12" ht="9.75" customHeight="1">
      <c r="A21" s="204"/>
      <c r="B21" s="452" t="s">
        <v>1540</v>
      </c>
      <c r="C21" s="453" t="s">
        <v>9</v>
      </c>
      <c r="D21" s="549">
        <v>1</v>
      </c>
      <c r="E21" s="549"/>
      <c r="F21" s="454"/>
      <c r="G21" s="455"/>
      <c r="H21" s="456"/>
      <c r="I21" s="452" t="s">
        <v>1531</v>
      </c>
      <c r="J21" s="453" t="s">
        <v>9</v>
      </c>
      <c r="K21" s="549">
        <v>1</v>
      </c>
      <c r="L21" s="549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46"/>
      <c r="C24" s="547"/>
      <c r="D24" s="547"/>
      <c r="E24" s="548"/>
      <c r="I24" s="546"/>
      <c r="J24" s="547"/>
      <c r="K24" s="547"/>
      <c r="L24" s="548"/>
    </row>
    <row r="26" spans="1:12">
      <c r="D26" s="447"/>
    </row>
    <row r="27" spans="1:12">
      <c r="D27" s="44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3" priority="5" stopIfTrue="1" operator="greaterThan">
      <formula>0.89</formula>
    </cfRule>
    <cfRule type="cellIs" dxfId="1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20" sqref="D20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3"/>
      <c r="C1" s="593"/>
      <c r="D1" s="593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1605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5.0999999999999996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4941900</v>
      </c>
    </row>
    <row r="10" spans="2:11" ht="20.100000000000001" customHeight="1">
      <c r="B10" s="288" t="s">
        <v>1446</v>
      </c>
      <c r="C10" s="289" t="s">
        <v>9</v>
      </c>
      <c r="D10" s="295">
        <f ca="1">RAB!K82</f>
        <v>32967990.013810001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659359.80027620005</v>
      </c>
    </row>
    <row r="12" spans="2:11" ht="9" customHeight="1">
      <c r="B12" s="594"/>
      <c r="C12" s="594"/>
      <c r="D12" s="594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1619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1610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5.5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1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220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10.6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1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220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P42" sqref="P42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595" t="s">
        <v>1357</v>
      </c>
      <c r="C3" s="595"/>
      <c r="D3" s="595"/>
      <c r="E3" s="595"/>
      <c r="F3" s="302" t="str">
        <f>DATA!D14</f>
        <v>KLINIK UTAMA MUTIARA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6" t="s">
        <v>1349</v>
      </c>
      <c r="C5" s="596" t="s">
        <v>1358</v>
      </c>
      <c r="D5" s="597" t="s">
        <v>1359</v>
      </c>
      <c r="E5" s="597" t="s">
        <v>1360</v>
      </c>
      <c r="F5" s="596" t="s">
        <v>1361</v>
      </c>
      <c r="G5" s="596"/>
      <c r="H5" s="596"/>
      <c r="I5" s="596"/>
      <c r="J5" s="596"/>
      <c r="K5" s="596" t="s">
        <v>1362</v>
      </c>
      <c r="L5" s="596"/>
      <c r="M5" s="304"/>
      <c r="N5" s="600" t="s">
        <v>1363</v>
      </c>
      <c r="O5" s="597" t="s">
        <v>1364</v>
      </c>
      <c r="P5" s="597" t="s">
        <v>1365</v>
      </c>
      <c r="Q5" s="597" t="s">
        <v>1366</v>
      </c>
      <c r="R5" s="305"/>
      <c r="S5" s="306"/>
      <c r="T5" s="598" t="s">
        <v>1367</v>
      </c>
      <c r="U5" s="307"/>
    </row>
    <row r="6" spans="1:21" ht="20.100000000000001" customHeight="1">
      <c r="B6" s="596"/>
      <c r="C6" s="596"/>
      <c r="D6" s="596"/>
      <c r="E6" s="596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01"/>
      <c r="O6" s="596"/>
      <c r="P6" s="596"/>
      <c r="Q6" s="596"/>
      <c r="R6" s="305"/>
      <c r="S6" s="306"/>
      <c r="T6" s="596"/>
      <c r="U6" s="309"/>
    </row>
    <row r="7" spans="1:21" ht="20.100000000000001" customHeight="1">
      <c r="A7" s="310">
        <v>0</v>
      </c>
      <c r="B7" s="311">
        <v>2023</v>
      </c>
      <c r="C7" s="468">
        <f>DATA!D8*DATA!D26*2</f>
        <v>408</v>
      </c>
      <c r="D7" s="313">
        <f>C7*4/24</f>
        <v>68</v>
      </c>
      <c r="E7" s="313">
        <f>C7-D7</f>
        <v>340</v>
      </c>
      <c r="F7" s="314">
        <f ca="1">DATA!D10/1000000</f>
        <v>32.967990013810002</v>
      </c>
      <c r="G7" s="315">
        <f ca="1">DATA!$D$11/1000000</f>
        <v>0.6593598002762</v>
      </c>
      <c r="H7" s="315">
        <f>C7*DATA!$D$5/1000000</f>
        <v>0.4423230187217263</v>
      </c>
      <c r="I7" s="315">
        <f>(C7*DATA!$D$5*DATA!$D$7)/1000000</f>
        <v>9.9522679212388412E-3</v>
      </c>
      <c r="J7" s="313">
        <f ca="1">SUM(F7:I7)</f>
        <v>34.07962510072916</v>
      </c>
      <c r="K7" s="316">
        <f>DATA!D9/1000000</f>
        <v>4.9419000000000004</v>
      </c>
      <c r="L7" s="313">
        <f>((D7*DATA!$D$23)/1000000)+((E7*DATA!$D$24)/1000000)</f>
        <v>0.58943760000000001</v>
      </c>
      <c r="M7" s="313">
        <f>K7+L7</f>
        <v>5.5313376000000005</v>
      </c>
      <c r="N7" s="313">
        <f ca="1">M7-J7</f>
        <v>-28.54828750072916</v>
      </c>
      <c r="O7" s="311">
        <v>1</v>
      </c>
      <c r="P7" s="313">
        <f ca="1">O7*N7</f>
        <v>-28.54828750072916</v>
      </c>
      <c r="Q7" s="313">
        <f ca="1">P7</f>
        <v>-28.54828750072916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2448</v>
      </c>
      <c r="D8" s="313">
        <f>C8*4/24</f>
        <v>408</v>
      </c>
      <c r="E8" s="313">
        <f t="shared" ref="E8:E32" si="0">C8-D8</f>
        <v>2040</v>
      </c>
      <c r="F8" s="311"/>
      <c r="G8" s="315">
        <f ca="1">DATA!$D$11/1000000</f>
        <v>0.6593598002762</v>
      </c>
      <c r="H8" s="315">
        <f>C8*DATA!$D$5/1000000</f>
        <v>2.653938112330358</v>
      </c>
      <c r="I8" s="315">
        <f>(C8*DATA!$D$5*DATA!$D$7)/1000000</f>
        <v>5.9713607527433051E-2</v>
      </c>
      <c r="J8" s="313">
        <f t="shared" ref="J8:J32" ca="1" si="1">SUM(F8:I8)</f>
        <v>3.373011520133991</v>
      </c>
      <c r="K8" s="318"/>
      <c r="L8" s="313">
        <f>((D8*DATA!$D$23)/1000000)+((E8*DATA!$D$24)/1000000)</f>
        <v>3.5366256000000003</v>
      </c>
      <c r="M8" s="313">
        <f t="shared" ref="M8:M32" si="2">K8+L8</f>
        <v>3.5366256000000003</v>
      </c>
      <c r="N8" s="313">
        <f ca="1">M8-J8</f>
        <v>0.16361407986600929</v>
      </c>
      <c r="O8" s="312">
        <f>1/(1+'[93]Asumsi I'!$C$3)^(KKF!A8)</f>
        <v>0.89285714285714279</v>
      </c>
      <c r="P8" s="313">
        <f ca="1">O8*N8</f>
        <v>0.14608399988036541</v>
      </c>
      <c r="Q8" s="313">
        <f ca="1">Q7+P8</f>
        <v>-28.402203500848795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2448</v>
      </c>
      <c r="D9" s="313">
        <f t="shared" ref="D9:D32" si="5">C9*4/24</f>
        <v>408</v>
      </c>
      <c r="E9" s="313">
        <f t="shared" si="0"/>
        <v>2040</v>
      </c>
      <c r="F9" s="311"/>
      <c r="G9" s="315">
        <f ca="1">DATA!$D$11/1000000</f>
        <v>0.6593598002762</v>
      </c>
      <c r="H9" s="315">
        <f>C9*DATA!$D$5/1000000</f>
        <v>2.653938112330358</v>
      </c>
      <c r="I9" s="315">
        <f>(C9*DATA!$D$5*DATA!$D$7)/1000000</f>
        <v>5.9713607527433051E-2</v>
      </c>
      <c r="J9" s="313">
        <f t="shared" ca="1" si="1"/>
        <v>3.373011520133991</v>
      </c>
      <c r="K9" s="313"/>
      <c r="L9" s="313">
        <f>((D9*DATA!$D$23)/1000000)+((E9*DATA!$D$24)/1000000)</f>
        <v>3.5366256000000003</v>
      </c>
      <c r="M9" s="313">
        <f t="shared" si="2"/>
        <v>3.5366256000000003</v>
      </c>
      <c r="N9" s="313">
        <f t="shared" ref="N9:N32" ca="1" si="6">M9-J9</f>
        <v>0.16361407986600929</v>
      </c>
      <c r="O9" s="319">
        <f>1/(1+'[93]Asumsi I'!$C$3)^(KKF!A9)</f>
        <v>0.79719387755102034</v>
      </c>
      <c r="P9" s="313">
        <f t="shared" ref="P9:P32" ca="1" si="7">O9*N9</f>
        <v>0.13043214275032627</v>
      </c>
      <c r="Q9" s="313">
        <f ca="1">Q8+P9</f>
        <v>-28.271771358098469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2448</v>
      </c>
      <c r="D10" s="313">
        <f t="shared" si="5"/>
        <v>408</v>
      </c>
      <c r="E10" s="313">
        <f t="shared" si="0"/>
        <v>2040</v>
      </c>
      <c r="F10" s="311"/>
      <c r="G10" s="315">
        <f ca="1">DATA!$D$11/1000000</f>
        <v>0.6593598002762</v>
      </c>
      <c r="H10" s="315">
        <f>C10*DATA!$D$5/1000000</f>
        <v>2.653938112330358</v>
      </c>
      <c r="I10" s="315">
        <f>(C10*DATA!$D$5*DATA!$D$7)/1000000</f>
        <v>5.9713607527433051E-2</v>
      </c>
      <c r="J10" s="313">
        <f t="shared" ca="1" si="1"/>
        <v>3.373011520133991</v>
      </c>
      <c r="K10" s="311"/>
      <c r="L10" s="313">
        <f>((D10*DATA!$D$23)/1000000)+((E10*DATA!$D$24)/1000000)</f>
        <v>3.5366256000000003</v>
      </c>
      <c r="M10" s="313">
        <f t="shared" si="2"/>
        <v>3.5366256000000003</v>
      </c>
      <c r="N10" s="313">
        <f t="shared" ca="1" si="6"/>
        <v>0.16361407986600929</v>
      </c>
      <c r="O10" s="312">
        <f>1/(1+'[93]Asumsi I'!$C$3)^(KKF!A10)</f>
        <v>0.71178024781341087</v>
      </c>
      <c r="P10" s="313">
        <f t="shared" ca="1" si="7"/>
        <v>0.11645727031279129</v>
      </c>
      <c r="Q10" s="313">
        <f t="shared" ref="Q10:Q30" ca="1" si="9">Q9+P10</f>
        <v>-28.155314087785676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2448</v>
      </c>
      <c r="D11" s="313">
        <f t="shared" si="5"/>
        <v>408</v>
      </c>
      <c r="E11" s="313">
        <f t="shared" si="0"/>
        <v>2040</v>
      </c>
      <c r="F11" s="311"/>
      <c r="G11" s="315">
        <f ca="1">DATA!$D$11/1000000</f>
        <v>0.6593598002762</v>
      </c>
      <c r="H11" s="315">
        <f>C11*DATA!$D$5/1000000</f>
        <v>2.653938112330358</v>
      </c>
      <c r="I11" s="315">
        <f>(C11*DATA!$D$5*DATA!$D$7)/1000000</f>
        <v>5.9713607527433051E-2</v>
      </c>
      <c r="J11" s="313">
        <f t="shared" ca="1" si="1"/>
        <v>3.373011520133991</v>
      </c>
      <c r="K11" s="311"/>
      <c r="L11" s="313">
        <f>((D11*DATA!$D$23)/1000000)+((E11*DATA!$D$24)/1000000)</f>
        <v>3.5366256000000003</v>
      </c>
      <c r="M11" s="313">
        <f t="shared" si="2"/>
        <v>3.5366256000000003</v>
      </c>
      <c r="N11" s="313">
        <f t="shared" ca="1" si="6"/>
        <v>0.16361407986600929</v>
      </c>
      <c r="O11" s="312">
        <f>1/(1+'[93]Asumsi I'!$C$3)^(KKF!A11)</f>
        <v>0.63551807840483121</v>
      </c>
      <c r="P11" s="313">
        <f t="shared" ca="1" si="7"/>
        <v>0.10397970563642081</v>
      </c>
      <c r="Q11" s="313">
        <f t="shared" ca="1" si="9"/>
        <v>-28.051334382149257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2448</v>
      </c>
      <c r="D12" s="313">
        <f t="shared" si="5"/>
        <v>408</v>
      </c>
      <c r="E12" s="313">
        <f t="shared" si="0"/>
        <v>2040</v>
      </c>
      <c r="F12" s="311"/>
      <c r="G12" s="315">
        <f ca="1">DATA!$D$11/1000000</f>
        <v>0.6593598002762</v>
      </c>
      <c r="H12" s="315">
        <f>C12*DATA!$D$5/1000000</f>
        <v>2.653938112330358</v>
      </c>
      <c r="I12" s="315">
        <f>(C12*DATA!$D$5*DATA!$D$7)/1000000</f>
        <v>5.9713607527433051E-2</v>
      </c>
      <c r="J12" s="313">
        <f t="shared" ca="1" si="1"/>
        <v>3.373011520133991</v>
      </c>
      <c r="K12" s="311"/>
      <c r="L12" s="313">
        <f>((D12*DATA!$D$23)/1000000)+((E12*DATA!$D$24)/1000000)</f>
        <v>3.5366256000000003</v>
      </c>
      <c r="M12" s="313">
        <f t="shared" si="2"/>
        <v>3.5366256000000003</v>
      </c>
      <c r="N12" s="313">
        <f t="shared" ca="1" si="6"/>
        <v>0.16361407986600929</v>
      </c>
      <c r="O12" s="312">
        <f>1/(1+'[93]Asumsi I'!$C$3)^(KKF!A12)</f>
        <v>0.56742685571859919</v>
      </c>
      <c r="P12" s="313">
        <f t="shared" ca="1" si="7"/>
        <v>9.2839022889661421E-2</v>
      </c>
      <c r="Q12" s="313">
        <f t="shared" ca="1" si="9"/>
        <v>-27.958495359259594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2448</v>
      </c>
      <c r="D13" s="313">
        <f t="shared" si="5"/>
        <v>408</v>
      </c>
      <c r="E13" s="313">
        <f t="shared" si="0"/>
        <v>2040</v>
      </c>
      <c r="F13" s="311"/>
      <c r="G13" s="315">
        <f ca="1">DATA!$D$11/1000000</f>
        <v>0.6593598002762</v>
      </c>
      <c r="H13" s="315">
        <f>C13*DATA!$D$5/1000000</f>
        <v>2.653938112330358</v>
      </c>
      <c r="I13" s="315">
        <f>(C13*DATA!$D$5*DATA!$D$7)/1000000</f>
        <v>5.9713607527433051E-2</v>
      </c>
      <c r="J13" s="313">
        <f t="shared" ca="1" si="1"/>
        <v>3.373011520133991</v>
      </c>
      <c r="K13" s="311"/>
      <c r="L13" s="313">
        <f>((D13*DATA!$D$23)/1000000)+((E13*DATA!$D$24)/1000000)</f>
        <v>3.5366256000000003</v>
      </c>
      <c r="M13" s="313">
        <f t="shared" si="2"/>
        <v>3.5366256000000003</v>
      </c>
      <c r="N13" s="313">
        <f t="shared" ca="1" si="6"/>
        <v>0.16361407986600929</v>
      </c>
      <c r="O13" s="312">
        <f>1/(1+'[93]Asumsi I'!$C$3)^(KKF!A13)</f>
        <v>0.50663112117732068</v>
      </c>
      <c r="P13" s="313">
        <f t="shared" ca="1" si="7"/>
        <v>8.2891984722911968E-2</v>
      </c>
      <c r="Q13" s="313">
        <f t="shared" ca="1" si="9"/>
        <v>-27.875603374536681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2448</v>
      </c>
      <c r="D14" s="313">
        <f t="shared" si="5"/>
        <v>408</v>
      </c>
      <c r="E14" s="313">
        <f t="shared" si="0"/>
        <v>2040</v>
      </c>
      <c r="F14" s="311"/>
      <c r="G14" s="315">
        <f ca="1">DATA!$D$11/1000000</f>
        <v>0.6593598002762</v>
      </c>
      <c r="H14" s="315">
        <f>C14*DATA!$D$5/1000000</f>
        <v>2.653938112330358</v>
      </c>
      <c r="I14" s="315">
        <f>(C14*DATA!$D$5*DATA!$D$7)/1000000</f>
        <v>5.9713607527433051E-2</v>
      </c>
      <c r="J14" s="313">
        <f t="shared" ca="1" si="1"/>
        <v>3.373011520133991</v>
      </c>
      <c r="K14" s="311"/>
      <c r="L14" s="313">
        <f>((D14*DATA!$D$23)/1000000)+((E14*DATA!$D$24)/1000000)</f>
        <v>3.5366256000000003</v>
      </c>
      <c r="M14" s="313">
        <f t="shared" si="2"/>
        <v>3.5366256000000003</v>
      </c>
      <c r="N14" s="313">
        <f t="shared" ca="1" si="6"/>
        <v>0.16361407986600929</v>
      </c>
      <c r="O14" s="312">
        <f>1/(1+'[93]Asumsi I'!$C$3)^(KKF!A14)</f>
        <v>0.45234921533689343</v>
      </c>
      <c r="P14" s="313">
        <f t="shared" ca="1" si="7"/>
        <v>7.4010700645457117E-2</v>
      </c>
      <c r="Q14" s="313">
        <f t="shared" ca="1" si="9"/>
        <v>-27.801592673891225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2448</v>
      </c>
      <c r="D15" s="313">
        <f t="shared" si="5"/>
        <v>408</v>
      </c>
      <c r="E15" s="313">
        <f t="shared" si="0"/>
        <v>2040</v>
      </c>
      <c r="F15" s="311"/>
      <c r="G15" s="315">
        <f ca="1">DATA!$D$11/1000000</f>
        <v>0.6593598002762</v>
      </c>
      <c r="H15" s="315">
        <f>C15*DATA!$D$5/1000000</f>
        <v>2.653938112330358</v>
      </c>
      <c r="I15" s="315">
        <f>(C15*DATA!$D$5*DATA!$D$7)/1000000</f>
        <v>5.9713607527433051E-2</v>
      </c>
      <c r="J15" s="313">
        <f t="shared" ca="1" si="1"/>
        <v>3.373011520133991</v>
      </c>
      <c r="K15" s="311"/>
      <c r="L15" s="313">
        <f>((D15*DATA!$D$23)/1000000)+((E15*DATA!$D$24)/1000000)</f>
        <v>3.5366256000000003</v>
      </c>
      <c r="M15" s="313">
        <f t="shared" si="2"/>
        <v>3.5366256000000003</v>
      </c>
      <c r="N15" s="313">
        <f t="shared" ca="1" si="6"/>
        <v>0.16361407986600929</v>
      </c>
      <c r="O15" s="312">
        <f>1/(1+'[93]Asumsi I'!$C$3)^(KKF!A15)</f>
        <v>0.4038832279793691</v>
      </c>
      <c r="P15" s="313">
        <f t="shared" ca="1" si="7"/>
        <v>6.6080982719158132E-2</v>
      </c>
      <c r="Q15" s="313">
        <f t="shared" ca="1" si="9"/>
        <v>-27.735511691172068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2448</v>
      </c>
      <c r="D16" s="313">
        <f t="shared" si="5"/>
        <v>408</v>
      </c>
      <c r="E16" s="313">
        <f t="shared" si="0"/>
        <v>2040</v>
      </c>
      <c r="F16" s="311"/>
      <c r="G16" s="315">
        <f ca="1">DATA!$D$11/1000000</f>
        <v>0.6593598002762</v>
      </c>
      <c r="H16" s="315">
        <f>C16*DATA!$D$5/1000000</f>
        <v>2.653938112330358</v>
      </c>
      <c r="I16" s="315">
        <f>(C16*DATA!$D$5*DATA!$D$7)/1000000</f>
        <v>5.9713607527433051E-2</v>
      </c>
      <c r="J16" s="313">
        <f t="shared" ca="1" si="1"/>
        <v>3.373011520133991</v>
      </c>
      <c r="K16" s="311"/>
      <c r="L16" s="313">
        <f>((D16*DATA!$D$23)/1000000)+((E16*DATA!$D$24)/1000000)</f>
        <v>3.5366256000000003</v>
      </c>
      <c r="M16" s="313">
        <f t="shared" si="2"/>
        <v>3.5366256000000003</v>
      </c>
      <c r="N16" s="313">
        <f t="shared" ca="1" si="6"/>
        <v>0.16361407986600929</v>
      </c>
      <c r="O16" s="312">
        <f>1/(1+'[93]Asumsi I'!$C$3)^(KKF!A16)</f>
        <v>0.36061002498157957</v>
      </c>
      <c r="P16" s="313">
        <f t="shared" ca="1" si="7"/>
        <v>5.9000877427819766E-2</v>
      </c>
      <c r="Q16" s="313">
        <f t="shared" ca="1" si="9"/>
        <v>-27.676510813744247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2448</v>
      </c>
      <c r="D17" s="313">
        <f t="shared" si="5"/>
        <v>408</v>
      </c>
      <c r="E17" s="313">
        <f t="shared" si="0"/>
        <v>2040</v>
      </c>
      <c r="F17" s="311"/>
      <c r="G17" s="315">
        <f ca="1">DATA!$D$11/1000000</f>
        <v>0.6593598002762</v>
      </c>
      <c r="H17" s="315">
        <f>C17*DATA!$D$5/1000000</f>
        <v>2.653938112330358</v>
      </c>
      <c r="I17" s="315">
        <f>(C17*DATA!$D$5*DATA!$D$7)/1000000</f>
        <v>5.9713607527433051E-2</v>
      </c>
      <c r="J17" s="313">
        <f t="shared" ca="1" si="1"/>
        <v>3.373011520133991</v>
      </c>
      <c r="K17" s="311"/>
      <c r="L17" s="313">
        <f>((D17*DATA!$D$23)/1000000)+((E17*DATA!$D$24)/1000000)</f>
        <v>3.5366256000000003</v>
      </c>
      <c r="M17" s="313">
        <f t="shared" si="2"/>
        <v>3.5366256000000003</v>
      </c>
      <c r="N17" s="313">
        <f t="shared" ca="1" si="6"/>
        <v>0.16361407986600929</v>
      </c>
      <c r="O17" s="312">
        <f>1/(1+'[93]Asumsi I'!$C$3)^(KKF!A17)</f>
        <v>0.32197323659069599</v>
      </c>
      <c r="P17" s="313">
        <f t="shared" ca="1" si="7"/>
        <v>5.2679354846267637E-2</v>
      </c>
      <c r="Q17" s="313">
        <f t="shared" ca="1" si="9"/>
        <v>-27.623831458897978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2448</v>
      </c>
      <c r="D18" s="313">
        <f t="shared" si="5"/>
        <v>408</v>
      </c>
      <c r="E18" s="313">
        <f t="shared" si="0"/>
        <v>2040</v>
      </c>
      <c r="F18" s="311"/>
      <c r="G18" s="315">
        <f ca="1">DATA!$D$11/1000000</f>
        <v>0.6593598002762</v>
      </c>
      <c r="H18" s="315">
        <f>C18*DATA!$D$5/1000000</f>
        <v>2.653938112330358</v>
      </c>
      <c r="I18" s="315">
        <f>(C18*DATA!$D$5*DATA!$D$7)/1000000</f>
        <v>5.9713607527433051E-2</v>
      </c>
      <c r="J18" s="313">
        <f t="shared" ca="1" si="1"/>
        <v>3.373011520133991</v>
      </c>
      <c r="K18" s="311"/>
      <c r="L18" s="313">
        <f>((D18*DATA!$D$23)/1000000)+((E18*DATA!$D$24)/1000000)</f>
        <v>3.5366256000000003</v>
      </c>
      <c r="M18" s="313">
        <f t="shared" si="2"/>
        <v>3.5366256000000003</v>
      </c>
      <c r="N18" s="313">
        <f t="shared" ca="1" si="6"/>
        <v>0.16361407986600929</v>
      </c>
      <c r="O18" s="312">
        <f>1/(1+'[93]Asumsi I'!$C$3)^(KKF!A18)</f>
        <v>0.28747610409883567</v>
      </c>
      <c r="P18" s="313">
        <f t="shared" ca="1" si="7"/>
        <v>4.7035138255596097E-2</v>
      </c>
      <c r="Q18" s="313">
        <f t="shared" ca="1" si="9"/>
        <v>-27.576796320642384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2448</v>
      </c>
      <c r="D19" s="313">
        <f t="shared" si="5"/>
        <v>408</v>
      </c>
      <c r="E19" s="313">
        <f t="shared" si="0"/>
        <v>2040</v>
      </c>
      <c r="F19" s="311"/>
      <c r="G19" s="315">
        <f ca="1">DATA!$D$11/1000000</f>
        <v>0.6593598002762</v>
      </c>
      <c r="H19" s="315">
        <f>C19*DATA!$D$5/1000000</f>
        <v>2.653938112330358</v>
      </c>
      <c r="I19" s="315">
        <f>(C19*DATA!$D$5*DATA!$D$7)/1000000</f>
        <v>5.9713607527433051E-2</v>
      </c>
      <c r="J19" s="313">
        <f t="shared" ca="1" si="1"/>
        <v>3.373011520133991</v>
      </c>
      <c r="K19" s="311"/>
      <c r="L19" s="313">
        <f>((D19*DATA!$D$23)/1000000)+((E19*DATA!$D$24)/1000000)</f>
        <v>3.5366256000000003</v>
      </c>
      <c r="M19" s="313">
        <f t="shared" si="2"/>
        <v>3.5366256000000003</v>
      </c>
      <c r="N19" s="313">
        <f t="shared" ca="1" si="6"/>
        <v>0.16361407986600929</v>
      </c>
      <c r="O19" s="312">
        <f>1/(1+'[93]Asumsi I'!$C$3)^(KKF!A19)</f>
        <v>0.25667509294538904</v>
      </c>
      <c r="P19" s="313">
        <f t="shared" ca="1" si="7"/>
        <v>4.1995659156782238E-2</v>
      </c>
      <c r="Q19" s="313">
        <f t="shared" ca="1" si="9"/>
        <v>-27.534800661485601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2448</v>
      </c>
      <c r="D20" s="313">
        <f t="shared" si="5"/>
        <v>408</v>
      </c>
      <c r="E20" s="313">
        <f t="shared" si="0"/>
        <v>2040</v>
      </c>
      <c r="F20" s="311"/>
      <c r="G20" s="315">
        <f ca="1">DATA!$D$11/1000000</f>
        <v>0.6593598002762</v>
      </c>
      <c r="H20" s="315">
        <f>C20*DATA!$D$5/1000000</f>
        <v>2.653938112330358</v>
      </c>
      <c r="I20" s="315">
        <f>(C20*DATA!$D$5*DATA!$D$7)/1000000</f>
        <v>5.9713607527433051E-2</v>
      </c>
      <c r="J20" s="313">
        <f t="shared" ca="1" si="1"/>
        <v>3.373011520133991</v>
      </c>
      <c r="K20" s="311"/>
      <c r="L20" s="313">
        <f>((D20*DATA!$D$23)/1000000)+((E20*DATA!$D$24)/1000000)</f>
        <v>3.5366256000000003</v>
      </c>
      <c r="M20" s="313">
        <f t="shared" si="2"/>
        <v>3.5366256000000003</v>
      </c>
      <c r="N20" s="313">
        <f t="shared" ca="1" si="6"/>
        <v>0.16361407986600929</v>
      </c>
      <c r="O20" s="312">
        <f>1/(1+'[93]Asumsi I'!$C$3)^(KKF!A20)</f>
        <v>0.22917419012981158</v>
      </c>
      <c r="P20" s="313">
        <f t="shared" ca="1" si="7"/>
        <v>3.7496124247126991E-2</v>
      </c>
      <c r="Q20" s="313">
        <f t="shared" ca="1" si="9"/>
        <v>-27.497304537238474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2448</v>
      </c>
      <c r="D21" s="313">
        <f t="shared" si="5"/>
        <v>408</v>
      </c>
      <c r="E21" s="313">
        <f t="shared" si="0"/>
        <v>2040</v>
      </c>
      <c r="F21" s="311"/>
      <c r="G21" s="315">
        <f ca="1">DATA!$D$11/1000000</f>
        <v>0.6593598002762</v>
      </c>
      <c r="H21" s="315">
        <f>C21*DATA!$D$5/1000000</f>
        <v>2.653938112330358</v>
      </c>
      <c r="I21" s="315">
        <f>(C21*DATA!$D$5*DATA!$D$7)/1000000</f>
        <v>5.9713607527433051E-2</v>
      </c>
      <c r="J21" s="313">
        <f t="shared" ca="1" si="1"/>
        <v>3.373011520133991</v>
      </c>
      <c r="K21" s="311"/>
      <c r="L21" s="313">
        <f>((D21*DATA!$D$23)/1000000)+((E21*DATA!$D$24)/1000000)</f>
        <v>3.5366256000000003</v>
      </c>
      <c r="M21" s="313">
        <f t="shared" si="2"/>
        <v>3.5366256000000003</v>
      </c>
      <c r="N21" s="313">
        <f t="shared" ca="1" si="6"/>
        <v>0.16361407986600929</v>
      </c>
      <c r="O21" s="312">
        <f>1/(1+'[93]Asumsi I'!$C$3)^(KKF!A21)</f>
        <v>0.20461981261590317</v>
      </c>
      <c r="P21" s="313">
        <f t="shared" ca="1" si="7"/>
        <v>3.3478682363506235E-2</v>
      </c>
      <c r="Q21" s="313">
        <f t="shared" ca="1" si="9"/>
        <v>-27.463825854874969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2448</v>
      </c>
      <c r="D22" s="313">
        <f t="shared" si="5"/>
        <v>408</v>
      </c>
      <c r="E22" s="313">
        <f t="shared" si="0"/>
        <v>2040</v>
      </c>
      <c r="F22" s="311"/>
      <c r="G22" s="315">
        <f ca="1">DATA!$D$11/1000000</f>
        <v>0.6593598002762</v>
      </c>
      <c r="H22" s="315">
        <f>C22*DATA!$D$5/1000000</f>
        <v>2.653938112330358</v>
      </c>
      <c r="I22" s="315">
        <f>(C22*DATA!$D$5*DATA!$D$7)/1000000</f>
        <v>5.9713607527433051E-2</v>
      </c>
      <c r="J22" s="313">
        <f t="shared" ca="1" si="1"/>
        <v>3.373011520133991</v>
      </c>
      <c r="K22" s="311"/>
      <c r="L22" s="313">
        <f>((D22*DATA!$D$23)/1000000)+((E22*DATA!$D$24)/1000000)</f>
        <v>3.5366256000000003</v>
      </c>
      <c r="M22" s="313">
        <f t="shared" si="2"/>
        <v>3.5366256000000003</v>
      </c>
      <c r="N22" s="313">
        <f t="shared" ca="1" si="6"/>
        <v>0.16361407986600929</v>
      </c>
      <c r="O22" s="312">
        <f>1/(1+'[93]Asumsi I'!$C$3)^(KKF!A22)</f>
        <v>0.18269626126419927</v>
      </c>
      <c r="P22" s="313">
        <f t="shared" ca="1" si="7"/>
        <v>2.9891680681701997E-2</v>
      </c>
      <c r="Q22" s="313">
        <f t="shared" ca="1" si="9"/>
        <v>-27.433934174193269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2448</v>
      </c>
      <c r="D23" s="313">
        <f t="shared" si="5"/>
        <v>408</v>
      </c>
      <c r="E23" s="313">
        <f t="shared" si="0"/>
        <v>2040</v>
      </c>
      <c r="F23" s="311"/>
      <c r="G23" s="315">
        <f ca="1">DATA!$D$11/1000000</f>
        <v>0.6593598002762</v>
      </c>
      <c r="H23" s="315">
        <f>C23*DATA!$D$5/1000000</f>
        <v>2.653938112330358</v>
      </c>
      <c r="I23" s="315">
        <f>(C23*DATA!$D$5*DATA!$D$7)/1000000</f>
        <v>5.9713607527433051E-2</v>
      </c>
      <c r="J23" s="313">
        <f t="shared" ca="1" si="1"/>
        <v>3.373011520133991</v>
      </c>
      <c r="K23" s="311"/>
      <c r="L23" s="313">
        <f>((D23*DATA!$D$23)/1000000)+((E23*DATA!$D$24)/1000000)</f>
        <v>3.5366256000000003</v>
      </c>
      <c r="M23" s="313">
        <f t="shared" si="2"/>
        <v>3.5366256000000003</v>
      </c>
      <c r="N23" s="313">
        <f t="shared" ca="1" si="6"/>
        <v>0.16361407986600929</v>
      </c>
      <c r="O23" s="312">
        <f>1/(1+'[93]Asumsi I'!$C$3)^(KKF!A23)</f>
        <v>0.16312166184303503</v>
      </c>
      <c r="P23" s="313">
        <f t="shared" ca="1" si="7"/>
        <v>2.6689000608662493E-2</v>
      </c>
      <c r="Q23" s="313">
        <f t="shared" ca="1" si="9"/>
        <v>-27.407245173584606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2448</v>
      </c>
      <c r="D24" s="313">
        <f t="shared" si="5"/>
        <v>408</v>
      </c>
      <c r="E24" s="313">
        <f t="shared" si="0"/>
        <v>2040</v>
      </c>
      <c r="F24" s="311"/>
      <c r="G24" s="315">
        <f ca="1">DATA!$D$11/1000000</f>
        <v>0.6593598002762</v>
      </c>
      <c r="H24" s="315">
        <f>C24*DATA!$D$5/1000000</f>
        <v>2.653938112330358</v>
      </c>
      <c r="I24" s="315">
        <f>(C24*DATA!$D$5*DATA!$D$7)/1000000</f>
        <v>5.9713607527433051E-2</v>
      </c>
      <c r="J24" s="313">
        <f t="shared" ca="1" si="1"/>
        <v>3.373011520133991</v>
      </c>
      <c r="K24" s="311"/>
      <c r="L24" s="313">
        <f>((D24*DATA!$D$23)/1000000)+((E24*DATA!$D$24)/1000000)</f>
        <v>3.5366256000000003</v>
      </c>
      <c r="M24" s="313">
        <f t="shared" si="2"/>
        <v>3.5366256000000003</v>
      </c>
      <c r="N24" s="313">
        <f t="shared" ca="1" si="6"/>
        <v>0.16361407986600929</v>
      </c>
      <c r="O24" s="312">
        <f>1/(1+'[93]Asumsi I'!$C$3)^(KKF!A24)</f>
        <v>0.14564434093128129</v>
      </c>
      <c r="P24" s="313">
        <f t="shared" ca="1" si="7"/>
        <v>2.3829464829162941E-2</v>
      </c>
      <c r="Q24" s="313">
        <f t="shared" ca="1" si="9"/>
        <v>-27.383415708755443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2448</v>
      </c>
      <c r="D25" s="313">
        <f t="shared" si="5"/>
        <v>408</v>
      </c>
      <c r="E25" s="313">
        <f t="shared" si="0"/>
        <v>2040</v>
      </c>
      <c r="F25" s="311"/>
      <c r="G25" s="315">
        <f ca="1">DATA!$D$11/1000000</f>
        <v>0.6593598002762</v>
      </c>
      <c r="H25" s="315">
        <f>C25*DATA!$D$5/1000000</f>
        <v>2.653938112330358</v>
      </c>
      <c r="I25" s="315">
        <f>(C25*DATA!$D$5*DATA!$D$7)/1000000</f>
        <v>5.9713607527433051E-2</v>
      </c>
      <c r="J25" s="313">
        <f t="shared" ca="1" si="1"/>
        <v>3.373011520133991</v>
      </c>
      <c r="K25" s="311"/>
      <c r="L25" s="313">
        <f>((D25*DATA!$D$23)/1000000)+((E25*DATA!$D$24)/1000000)</f>
        <v>3.5366256000000003</v>
      </c>
      <c r="M25" s="313">
        <f t="shared" si="2"/>
        <v>3.5366256000000003</v>
      </c>
      <c r="N25" s="313">
        <f t="shared" ca="1" si="6"/>
        <v>0.16361407986600929</v>
      </c>
      <c r="O25" s="312">
        <f>1/(1+'[93]Asumsi I'!$C$3)^(KKF!A25)</f>
        <v>0.13003959011721541</v>
      </c>
      <c r="P25" s="313">
        <f t="shared" ca="1" si="7"/>
        <v>2.1276307883181196E-2</v>
      </c>
      <c r="Q25" s="313">
        <f t="shared" ca="1" si="9"/>
        <v>-27.362139400872262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2448</v>
      </c>
      <c r="D26" s="313">
        <f t="shared" si="5"/>
        <v>408</v>
      </c>
      <c r="E26" s="313">
        <f t="shared" si="0"/>
        <v>2040</v>
      </c>
      <c r="F26" s="311"/>
      <c r="G26" s="315">
        <f ca="1">DATA!$D$11/1000000</f>
        <v>0.6593598002762</v>
      </c>
      <c r="H26" s="315">
        <f>C26*DATA!$D$5/1000000</f>
        <v>2.653938112330358</v>
      </c>
      <c r="I26" s="315">
        <f>(C26*DATA!$D$5*DATA!$D$7)/1000000</f>
        <v>5.9713607527433051E-2</v>
      </c>
      <c r="J26" s="313">
        <f t="shared" ca="1" si="1"/>
        <v>3.373011520133991</v>
      </c>
      <c r="K26" s="311"/>
      <c r="L26" s="313">
        <f>((D26*DATA!$D$23)/1000000)+((E26*DATA!$D$24)/1000000)</f>
        <v>3.5366256000000003</v>
      </c>
      <c r="M26" s="313">
        <f t="shared" si="2"/>
        <v>3.5366256000000003</v>
      </c>
      <c r="N26" s="313">
        <f t="shared" ca="1" si="6"/>
        <v>0.16361407986600929</v>
      </c>
      <c r="O26" s="312">
        <f>1/(1+'[93]Asumsi I'!$C$3)^(KKF!A26)</f>
        <v>0.1161067768903709</v>
      </c>
      <c r="P26" s="313">
        <f t="shared" ca="1" si="7"/>
        <v>1.8996703467126064E-2</v>
      </c>
      <c r="Q26" s="313">
        <f t="shared" ca="1" si="9"/>
        <v>-27.343142697405135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2448</v>
      </c>
      <c r="D27" s="313">
        <f t="shared" si="5"/>
        <v>408</v>
      </c>
      <c r="E27" s="313">
        <f t="shared" si="0"/>
        <v>2040</v>
      </c>
      <c r="F27" s="311"/>
      <c r="G27" s="315">
        <f ca="1">DATA!$D$11/1000000</f>
        <v>0.6593598002762</v>
      </c>
      <c r="H27" s="315">
        <f>C27*DATA!$D$5/1000000</f>
        <v>2.653938112330358</v>
      </c>
      <c r="I27" s="315">
        <f>(C27*DATA!$D$5*DATA!$D$7)/1000000</f>
        <v>5.9713607527433051E-2</v>
      </c>
      <c r="J27" s="313">
        <f t="shared" ca="1" si="1"/>
        <v>3.373011520133991</v>
      </c>
      <c r="K27" s="311"/>
      <c r="L27" s="313">
        <f>((D27*DATA!$D$23)/1000000)+((E27*DATA!$D$24)/1000000)</f>
        <v>3.5366256000000003</v>
      </c>
      <c r="M27" s="313">
        <f t="shared" si="2"/>
        <v>3.5366256000000003</v>
      </c>
      <c r="N27" s="313">
        <f t="shared" ca="1" si="6"/>
        <v>0.16361407986600929</v>
      </c>
      <c r="O27" s="312">
        <f>1/(1+'[93]Asumsi I'!$C$3)^(KKF!A27)</f>
        <v>0.1036667650806883</v>
      </c>
      <c r="P27" s="313">
        <f t="shared" ca="1" si="7"/>
        <v>1.6961342381362557E-2</v>
      </c>
      <c r="Q27" s="313">
        <f t="shared" ca="1" si="9"/>
        <v>-27.326181355023774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2448</v>
      </c>
      <c r="D28" s="313">
        <f t="shared" si="5"/>
        <v>408</v>
      </c>
      <c r="E28" s="313">
        <f t="shared" si="0"/>
        <v>2040</v>
      </c>
      <c r="F28" s="311"/>
      <c r="G28" s="315">
        <f ca="1">DATA!$D$11/1000000</f>
        <v>0.6593598002762</v>
      </c>
      <c r="H28" s="315">
        <f>C28*DATA!$D$5/1000000</f>
        <v>2.653938112330358</v>
      </c>
      <c r="I28" s="315">
        <f>(C28*DATA!$D$5*DATA!$D$7)/1000000</f>
        <v>5.9713607527433051E-2</v>
      </c>
      <c r="J28" s="313">
        <f t="shared" ca="1" si="1"/>
        <v>3.373011520133991</v>
      </c>
      <c r="K28" s="311"/>
      <c r="L28" s="313">
        <f>((D28*DATA!$D$23)/1000000)+((E28*DATA!$D$24)/1000000)</f>
        <v>3.5366256000000003</v>
      </c>
      <c r="M28" s="313">
        <f t="shared" si="2"/>
        <v>3.5366256000000003</v>
      </c>
      <c r="N28" s="313">
        <f t="shared" ca="1" si="6"/>
        <v>0.16361407986600929</v>
      </c>
      <c r="O28" s="312">
        <f>1/(1+'[93]Asumsi I'!$C$3)^(KKF!A28)</f>
        <v>9.2559611679185971E-2</v>
      </c>
      <c r="P28" s="313">
        <f t="shared" ca="1" si="7"/>
        <v>1.514405569764514E-2</v>
      </c>
      <c r="Q28" s="313">
        <f t="shared" ca="1" si="9"/>
        <v>-27.311037299326127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2448</v>
      </c>
      <c r="D29" s="313">
        <f t="shared" si="5"/>
        <v>408</v>
      </c>
      <c r="E29" s="313">
        <f t="shared" si="0"/>
        <v>2040</v>
      </c>
      <c r="F29" s="311"/>
      <c r="G29" s="315">
        <f ca="1">DATA!$D$11/1000000</f>
        <v>0.6593598002762</v>
      </c>
      <c r="H29" s="315">
        <f>C29*DATA!$D$5/1000000</f>
        <v>2.653938112330358</v>
      </c>
      <c r="I29" s="315">
        <f>(C29*DATA!$D$5*DATA!$D$7)/1000000</f>
        <v>5.9713607527433051E-2</v>
      </c>
      <c r="J29" s="313">
        <f t="shared" ca="1" si="1"/>
        <v>3.373011520133991</v>
      </c>
      <c r="K29" s="311"/>
      <c r="L29" s="313">
        <f>((D29*DATA!$D$23)/1000000)+((E29*DATA!$D$24)/1000000)</f>
        <v>3.5366256000000003</v>
      </c>
      <c r="M29" s="313">
        <f t="shared" si="2"/>
        <v>3.5366256000000003</v>
      </c>
      <c r="N29" s="313">
        <f t="shared" ca="1" si="6"/>
        <v>0.16361407986600929</v>
      </c>
      <c r="O29" s="312">
        <f>1/(1+'[93]Asumsi I'!$C$3)^(KKF!A29)</f>
        <v>8.2642510427844609E-2</v>
      </c>
      <c r="P29" s="313">
        <f t="shared" ca="1" si="7"/>
        <v>1.3521478301468874E-2</v>
      </c>
      <c r="Q29" s="313">
        <f t="shared" ca="1" si="9"/>
        <v>-27.297515821024657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2448</v>
      </c>
      <c r="D30" s="313">
        <f t="shared" si="5"/>
        <v>408</v>
      </c>
      <c r="E30" s="313">
        <f t="shared" si="0"/>
        <v>2040</v>
      </c>
      <c r="F30" s="311"/>
      <c r="G30" s="315">
        <f ca="1">DATA!$D$11/1000000</f>
        <v>0.6593598002762</v>
      </c>
      <c r="H30" s="315">
        <f>C30*DATA!$D$5/1000000</f>
        <v>2.653938112330358</v>
      </c>
      <c r="I30" s="315">
        <f>(C30*DATA!$D$5*DATA!$D$7)/1000000</f>
        <v>5.9713607527433051E-2</v>
      </c>
      <c r="J30" s="313">
        <f t="shared" ca="1" si="1"/>
        <v>3.373011520133991</v>
      </c>
      <c r="K30" s="311"/>
      <c r="L30" s="313">
        <f>((D30*DATA!$D$23)/1000000)+((E30*DATA!$D$24)/1000000)</f>
        <v>3.5366256000000003</v>
      </c>
      <c r="M30" s="313">
        <f t="shared" si="2"/>
        <v>3.5366256000000003</v>
      </c>
      <c r="N30" s="313">
        <f t="shared" ca="1" si="6"/>
        <v>0.16361407986600929</v>
      </c>
      <c r="O30" s="312">
        <f>1/(1+'[93]Asumsi I'!$C$3)^(KKF!A30)</f>
        <v>7.3787955739146982E-2</v>
      </c>
      <c r="P30" s="313">
        <f t="shared" ca="1" si="7"/>
        <v>1.2072748483454352E-2</v>
      </c>
      <c r="Q30" s="313">
        <f t="shared" ca="1" si="9"/>
        <v>-27.285443072541202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2448</v>
      </c>
      <c r="D31" s="313">
        <f t="shared" si="5"/>
        <v>408</v>
      </c>
      <c r="E31" s="313">
        <f t="shared" si="0"/>
        <v>2040</v>
      </c>
      <c r="F31" s="311"/>
      <c r="G31" s="315">
        <f ca="1">DATA!$D$11/1000000</f>
        <v>0.6593598002762</v>
      </c>
      <c r="H31" s="315">
        <f>C31*DATA!$D$5/1000000</f>
        <v>2.653938112330358</v>
      </c>
      <c r="I31" s="315">
        <f>(C31*DATA!$D$5*DATA!$D$7)/1000000</f>
        <v>5.9713607527433051E-2</v>
      </c>
      <c r="J31" s="313">
        <f t="shared" ca="1" si="1"/>
        <v>3.373011520133991</v>
      </c>
      <c r="K31" s="311"/>
      <c r="L31" s="313">
        <f>((D31*DATA!$D$23)/1000000)+((E31*DATA!$D$24)/1000000)</f>
        <v>3.5366256000000003</v>
      </c>
      <c r="M31" s="313">
        <f t="shared" si="2"/>
        <v>3.5366256000000003</v>
      </c>
      <c r="N31" s="313">
        <f t="shared" ca="1" si="6"/>
        <v>0.16361407986600929</v>
      </c>
      <c r="O31" s="312">
        <f>1/(1+'[93]Asumsi I'!$C$3)^(KKF!A31)</f>
        <v>6.5882103338524081E-2</v>
      </c>
      <c r="P31" s="313">
        <f t="shared" ca="1" si="7"/>
        <v>1.0779239717369956E-2</v>
      </c>
      <c r="Q31" s="313">
        <f ca="1">Q30+P31</f>
        <v>-27.274663832823833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2448</v>
      </c>
      <c r="D32" s="313">
        <f t="shared" si="5"/>
        <v>408</v>
      </c>
      <c r="E32" s="313">
        <f t="shared" si="0"/>
        <v>2040</v>
      </c>
      <c r="F32" s="311"/>
      <c r="G32" s="315">
        <f ca="1">DATA!$D$11/1000000</f>
        <v>0.6593598002762</v>
      </c>
      <c r="H32" s="315">
        <f>C32*DATA!$D$5/1000000</f>
        <v>2.653938112330358</v>
      </c>
      <c r="I32" s="315">
        <f>(C32*DATA!$D$5*DATA!$D$7)/1000000</f>
        <v>5.9713607527433051E-2</v>
      </c>
      <c r="J32" s="313">
        <f t="shared" ca="1" si="1"/>
        <v>3.373011520133991</v>
      </c>
      <c r="K32" s="311"/>
      <c r="L32" s="313">
        <f>((D32*DATA!$D$23)/1000000)+((E32*DATA!$D$24)/1000000)</f>
        <v>3.5366256000000003</v>
      </c>
      <c r="M32" s="313">
        <f t="shared" si="2"/>
        <v>3.5366256000000003</v>
      </c>
      <c r="N32" s="313">
        <f t="shared" ca="1" si="6"/>
        <v>0.16361407986600929</v>
      </c>
      <c r="O32" s="312">
        <f>1/(1+'[93]Asumsi I'!$C$3)^(KKF!A32)</f>
        <v>5.8823306552253637E-2</v>
      </c>
      <c r="P32" s="313">
        <f t="shared" ca="1" si="7"/>
        <v>9.6243211762231749E-3</v>
      </c>
      <c r="Q32" s="313">
        <f ca="1">Q31+P32</f>
        <v>-27.265039511647611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9" t="s">
        <v>1374</v>
      </c>
      <c r="G33" s="599"/>
      <c r="H33" s="599"/>
      <c r="I33" s="321"/>
      <c r="J33" s="322">
        <f ca="1">SUM(J7:J32)</f>
        <v>118.40491310407886</v>
      </c>
      <c r="K33" s="599" t="s">
        <v>1375</v>
      </c>
      <c r="L33" s="599"/>
      <c r="M33" s="322">
        <f>SUM(M7:M32)</f>
        <v>93.946977599999954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208.29274062866995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0.79343817023386365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-24.343785278256792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-0.11467225121002655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1" priority="1" stopIfTrue="1" operator="greaterThanOrEqual">
      <formula>$F$7</formula>
    </cfRule>
    <cfRule type="cellIs" dxfId="10" priority="2" stopIfTrue="1" operator="lessThan">
      <formula>$F$7</formula>
    </cfRule>
  </conditionalFormatting>
  <conditionalFormatting sqref="Q7:Q32">
    <cfRule type="cellIs" dxfId="9" priority="3" operator="lessThan">
      <formula>0</formula>
    </cfRule>
    <cfRule type="cellIs" dxfId="8" priority="4" operator="lessThan">
      <formula>0</formula>
    </cfRule>
    <cfRule type="cellIs" dxfId="7" priority="5" operator="lessThan">
      <formula>-6395.81</formula>
    </cfRule>
    <cfRule type="cellIs" dxfId="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97"/>
  <sheetViews>
    <sheetView showGridLines="0" tabSelected="1" view="pageBreakPreview" zoomScale="70" zoomScaleNormal="85" zoomScaleSheetLayoutView="70" workbookViewId="0">
      <pane ySplit="13" topLeftCell="A91" activePane="bottomLeft" state="frozen"/>
      <selection activeCell="H1093" sqref="H1093"/>
      <selection pane="bottomLeft" activeCell="M98" sqref="M98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02" t="s">
        <v>1036</v>
      </c>
      <c r="P3" s="602"/>
      <c r="Q3" s="343"/>
      <c r="T3" s="341"/>
      <c r="U3" s="342" t="s">
        <v>1041</v>
      </c>
      <c r="V3" s="341"/>
    </row>
    <row r="4" spans="1:22" ht="15.75" customHeight="1">
      <c r="B4" s="603" t="s">
        <v>1023</v>
      </c>
      <c r="C4" s="603"/>
      <c r="D4" s="603"/>
      <c r="E4" s="603"/>
      <c r="F4" s="603"/>
      <c r="G4" s="603"/>
      <c r="H4" s="603"/>
      <c r="I4" s="603"/>
      <c r="J4" s="603"/>
      <c r="K4" s="603"/>
      <c r="O4" s="602"/>
      <c r="P4" s="602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19" t="str">
        <f>DATA!D14</f>
        <v>KLINIK UTAMA MUTIARA</v>
      </c>
      <c r="H6" s="619"/>
      <c r="I6" s="619"/>
      <c r="J6" s="619"/>
      <c r="K6" s="619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1621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05" t="s">
        <v>0</v>
      </c>
      <c r="C11" s="607" t="s">
        <v>1</v>
      </c>
      <c r="D11" s="610" t="s">
        <v>42</v>
      </c>
      <c r="E11" s="610" t="s">
        <v>43</v>
      </c>
      <c r="F11" s="610" t="s">
        <v>2</v>
      </c>
      <c r="G11" s="612" t="s">
        <v>41</v>
      </c>
      <c r="H11" s="610" t="s">
        <v>3</v>
      </c>
      <c r="I11" s="610"/>
      <c r="J11" s="610"/>
      <c r="K11" s="629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06"/>
      <c r="C12" s="608"/>
      <c r="D12" s="611"/>
      <c r="E12" s="611"/>
      <c r="F12" s="611"/>
      <c r="G12" s="613"/>
      <c r="H12" s="615" t="s">
        <v>46</v>
      </c>
      <c r="I12" s="615" t="s">
        <v>5</v>
      </c>
      <c r="J12" s="611" t="s">
        <v>47</v>
      </c>
      <c r="K12" s="630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06"/>
      <c r="C13" s="609"/>
      <c r="D13" s="611"/>
      <c r="E13" s="611"/>
      <c r="F13" s="611"/>
      <c r="G13" s="614"/>
      <c r="H13" s="616"/>
      <c r="I13" s="616"/>
      <c r="J13" s="611"/>
      <c r="K13" s="630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1606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" ca="1" si="4">IF(OR(D15="MDU",D15="MDU-KD"),(IF($O$3="RAB NON MDU","PLN KD",G15*F15)),0)</f>
        <v>0</v>
      </c>
      <c r="I15" s="356">
        <f t="shared" ref="I15" ca="1" si="5">IF(D15="HDW",G15*F15,0)</f>
        <v>0</v>
      </c>
      <c r="J15" s="356">
        <f t="shared" ref="J15" ca="1" si="6">IF(D15="JASA",G15*F15,0)</f>
        <v>0</v>
      </c>
      <c r="K15" s="357">
        <f t="shared" ref="K15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/>
      <c r="B16" s="483">
        <v>1</v>
      </c>
      <c r="C16" s="109" t="s">
        <v>461</v>
      </c>
      <c r="D16" s="353" t="str">
        <f ca="1">IF(ISERROR(OFFSET('HARGA SATUAN'!$D$6,MATCH(RAB!C16,'HARGA SATUAN'!$C$7:$C$1492,0),0)),"",OFFSET('HARGA SATUAN'!$D$6,MATCH(RAB!C16,'HARGA SATUAN'!$C$7:$C$1492,0),0))</f>
        <v>HDW</v>
      </c>
      <c r="E16" s="354" t="str">
        <f ca="1">IF(B16="+","Unit",IF(ISERROR(OFFSET('HARGA SATUAN'!$E$6,MATCH(RAB!C16,'HARGA SATUAN'!$C$7:$C$1492,0),0)),"",OFFSET('HARGA SATUAN'!$E$6,MATCH(RAB!C16,'HARGA SATUAN'!$C$7:$C$1492,0),0)))</f>
        <v>Set</v>
      </c>
      <c r="F16" s="361">
        <v>1</v>
      </c>
      <c r="G16" s="355">
        <f ca="1">IF(ISERROR(OFFSET('HARGA SATUAN'!$I$6,MATCH(RAB!C16,'HARGA SATUAN'!$C$7:$C$1492,0),0)),0,OFFSET('HARGA SATUAN'!$I$6,MATCH(RAB!C16,'HARGA SATUAN'!$C$7:$C$1492,0),0))</f>
        <v>200000</v>
      </c>
      <c r="H16" s="356">
        <f t="shared" ref="H16:H17" ca="1" si="8">IF(OR(D16="MDU",D16="MDU-KD"),(IF($O$3="RAB NON MDU","PLN KD",G16*F16)),0)</f>
        <v>0</v>
      </c>
      <c r="I16" s="356">
        <f t="shared" ref="I16:I17" ca="1" si="9">IF(D16="HDW",G16*F16,0)</f>
        <v>200000</v>
      </c>
      <c r="J16" s="356">
        <f t="shared" ref="J16:J17" ca="1" si="10">IF(D16="JASA",G16*F16,0)</f>
        <v>0</v>
      </c>
      <c r="K16" s="357">
        <f t="shared" ref="K16:K17" ca="1" si="11">SUM(H16:J16)</f>
        <v>200000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3">
        <v>2</v>
      </c>
      <c r="C17" s="109" t="s">
        <v>101</v>
      </c>
      <c r="D17" s="353" t="str">
        <f ca="1">IF(ISERROR(OFFSET('HARGA SATUAN'!$D$6,MATCH(RAB!C17,'HARGA SATUAN'!$C$7:$C$1492,0),0)),"",OFFSET('HARGA SATUAN'!$D$6,MATCH(RAB!C17,'HARGA SATUAN'!$C$7:$C$1492,0),0))</f>
        <v>HDW</v>
      </c>
      <c r="E17" s="354" t="str">
        <f ca="1">IF(B17="+","Unit",IF(ISERROR(OFFSET('HARGA SATUAN'!$E$6,MATCH(RAB!C17,'HARGA SATUAN'!$C$7:$C$1492,0),0)),"",OFFSET('HARGA SATUAN'!$E$6,MATCH(RAB!C17,'HARGA SATUAN'!$C$7:$C$1492,0),0)))</f>
        <v>Btg</v>
      </c>
      <c r="F17" s="361">
        <v>1</v>
      </c>
      <c r="G17" s="355">
        <f ca="1">IF(ISERROR(OFFSET('HARGA SATUAN'!$I$6,MATCH(RAB!C17,'HARGA SATUAN'!$C$7:$C$1492,0),0)),0,OFFSET('HARGA SATUAN'!$I$6,MATCH(RAB!C17,'HARGA SATUAN'!$C$7:$C$1492,0),0))</f>
        <v>3382600</v>
      </c>
      <c r="H17" s="356">
        <f t="shared" ca="1" si="8"/>
        <v>0</v>
      </c>
      <c r="I17" s="356">
        <f t="shared" ca="1" si="9"/>
        <v>3382600</v>
      </c>
      <c r="J17" s="356">
        <f t="shared" ca="1" si="10"/>
        <v>0</v>
      </c>
      <c r="K17" s="357">
        <f t="shared" ca="1" si="11"/>
        <v>3382600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3">
        <v>3</v>
      </c>
      <c r="C18" s="109" t="s">
        <v>6</v>
      </c>
      <c r="D18" s="353" t="str">
        <f ca="1">IF(ISERROR(OFFSET('HARGA SATUAN'!$D$6,MATCH(RAB!C18,'HARGA SATUAN'!$C$7:$C$1492,0),0)),"",OFFSET('HARGA SATUAN'!$D$6,MATCH(RAB!C18,'HARGA SATUAN'!$C$7:$C$1492,0),0))</f>
        <v>JASA</v>
      </c>
      <c r="E18" s="354" t="str">
        <f ca="1">IF(B18="+","Unit",IF(ISERROR(OFFSET('HARGA SATUAN'!$E$6,MATCH(RAB!C18,'HARGA SATUAN'!$C$7:$C$1492,0),0)),"",OFFSET('HARGA SATUAN'!$E$6,MATCH(RAB!C18,'HARGA SATUAN'!$C$7:$C$1492,0),0)))</f>
        <v>Btg</v>
      </c>
      <c r="F18" s="361">
        <v>1</v>
      </c>
      <c r="G18" s="355">
        <f ca="1">IF(ISERROR(OFFSET('HARGA SATUAN'!$I$6,MATCH(RAB!C18,'HARGA SATUAN'!$C$7:$C$1492,0),0)),0,OFFSET('HARGA SATUAN'!$I$6,MATCH(RAB!C18,'HARGA SATUAN'!$C$7:$C$1492,0),0))</f>
        <v>10066.666666666668</v>
      </c>
      <c r="H18" s="356">
        <f t="shared" ref="H18:H19" ca="1" si="12">IF(OR(D18="MDU",D18="MDU-KD"),(IF($O$3="RAB NON MDU","PLN KD",G18*F18)),0)</f>
        <v>0</v>
      </c>
      <c r="I18" s="356">
        <f t="shared" ref="I18:I19" ca="1" si="13">IF(D18="HDW",G18*F18,0)</f>
        <v>0</v>
      </c>
      <c r="J18" s="356">
        <f t="shared" ref="J18:J19" ca="1" si="14">IF(D18="JASA",G18*F18,0)</f>
        <v>10066.666666666668</v>
      </c>
      <c r="K18" s="357">
        <f t="shared" ref="K18:K19" ca="1" si="15">SUM(H18:J18)</f>
        <v>10066.666666666668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3"/>
      <c r="C19" s="109"/>
      <c r="D19" s="353"/>
      <c r="E19" s="354"/>
      <c r="F19" s="361"/>
      <c r="G19" s="355"/>
      <c r="H19" s="356">
        <f t="shared" si="12"/>
        <v>0</v>
      </c>
      <c r="I19" s="356">
        <f t="shared" si="13"/>
        <v>0</v>
      </c>
      <c r="J19" s="356">
        <f t="shared" si="14"/>
        <v>0</v>
      </c>
      <c r="K19" s="357">
        <f t="shared" si="15"/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 t="e">
        <f>IF(AND(C20=0,#REF!=0,#REF!=0),"BLANKS",1)</f>
        <v>#REF!</v>
      </c>
      <c r="B20" s="481" t="s">
        <v>505</v>
      </c>
      <c r="C20" s="482" t="s">
        <v>1607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ref="H20:H21" ca="1" si="16">IF(OR(D20="MDU",D20="MDU-KD"),(IF($O$3="RAB NON MDU","PLN KD",G20*F20)),0)</f>
        <v>0</v>
      </c>
      <c r="I20" s="356">
        <f t="shared" ref="I20:I21" ca="1" si="17">IF(D20="HDW",G20*F20,0)</f>
        <v>0</v>
      </c>
      <c r="J20" s="356">
        <f t="shared" ref="J20:J21" ca="1" si="18">IF(D20="JASA",G20*F20,0)</f>
        <v>0</v>
      </c>
      <c r="K20" s="357">
        <f t="shared" ref="K20:K21" ca="1" si="19">SUM(H20:J20)</f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86"/>
      <c r="C21" s="487"/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361"/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ca="1" si="16"/>
        <v>0</v>
      </c>
      <c r="I21" s="356">
        <f t="shared" ca="1" si="17"/>
        <v>0</v>
      </c>
      <c r="J21" s="356">
        <f t="shared" ca="1" si="18"/>
        <v>0</v>
      </c>
      <c r="K21" s="357">
        <f t="shared" ca="1" si="19"/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99" t="s">
        <v>1035</v>
      </c>
      <c r="C22" s="500" t="s">
        <v>1616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>Unit</v>
      </c>
      <c r="F22" s="491">
        <v>5</v>
      </c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ref="H22:H28" ca="1" si="20">IF(OR(D22="MDU",D22="MDU-KD"),(IF($O$3="RAB NON MDU","PLN KD",G22*F22)),0)</f>
        <v>0</v>
      </c>
      <c r="I22" s="356">
        <f t="shared" ref="I22:I28" ca="1" si="21">IF(D22="HDW",G22*F22,0)</f>
        <v>0</v>
      </c>
      <c r="J22" s="356">
        <f t="shared" ref="J22:J28" ca="1" si="22">IF(D22="JASA",G22*F22,0)</f>
        <v>0</v>
      </c>
      <c r="K22" s="357">
        <f t="shared" ref="K22:K28" ca="1" si="23">SUM(H22:J22)</f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99">
        <v>1</v>
      </c>
      <c r="C23" s="500" t="s">
        <v>229</v>
      </c>
      <c r="D23" s="353" t="str">
        <f ca="1">IF(ISERROR(OFFSET('HARGA SATUAN'!$D$6,MATCH(RAB!C23,'HARGA SATUAN'!$C$7:$C$1492,0),0)),"",OFFSET('HARGA SATUAN'!$D$6,MATCH(RAB!C23,'HARGA SATUAN'!$C$7:$C$1492,0),0))</f>
        <v>HDW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91">
        <f>F22*1</f>
        <v>5</v>
      </c>
      <c r="G23" s="355">
        <f ca="1">IF(ISERROR(OFFSET('HARGA SATUAN'!$I$6,MATCH(RAB!C23,'HARGA SATUAN'!$C$7:$C$1492,0),0)),0,OFFSET('HARGA SATUAN'!$I$6,MATCH(RAB!C23,'HARGA SATUAN'!$C$7:$C$1492,0),0))</f>
        <v>4212</v>
      </c>
      <c r="H23" s="356">
        <f t="shared" ca="1" si="20"/>
        <v>0</v>
      </c>
      <c r="I23" s="356">
        <f t="shared" ca="1" si="21"/>
        <v>21060</v>
      </c>
      <c r="J23" s="356">
        <f t="shared" ca="1" si="22"/>
        <v>0</v>
      </c>
      <c r="K23" s="357">
        <f t="shared" ca="1" si="23"/>
        <v>21060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9">
        <v>2</v>
      </c>
      <c r="C24" s="500" t="s">
        <v>266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Mtr</v>
      </c>
      <c r="F24" s="491">
        <f>F22*1</f>
        <v>5</v>
      </c>
      <c r="G24" s="355">
        <f ca="1">IF(ISERROR(OFFSET('HARGA SATUAN'!$I$6,MATCH(RAB!C24,'HARGA SATUAN'!$C$7:$C$1492,0),0)),0,OFFSET('HARGA SATUAN'!$I$6,MATCH(RAB!C24,'HARGA SATUAN'!$C$7:$C$1492,0),0))</f>
        <v>23310</v>
      </c>
      <c r="H24" s="356">
        <f t="shared" ca="1" si="20"/>
        <v>0</v>
      </c>
      <c r="I24" s="356">
        <f t="shared" ca="1" si="21"/>
        <v>116550</v>
      </c>
      <c r="J24" s="356">
        <f t="shared" ca="1" si="22"/>
        <v>0</v>
      </c>
      <c r="K24" s="357">
        <f t="shared" ca="1" si="23"/>
        <v>116550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9">
        <v>3</v>
      </c>
      <c r="C25" s="500" t="s">
        <v>35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91">
        <f>F22*1</f>
        <v>5</v>
      </c>
      <c r="G25" s="355">
        <f ca="1">IF(ISERROR(OFFSET('HARGA SATUAN'!$I$6,MATCH(RAB!C25,'HARGA SATUAN'!$C$7:$C$1492,0),0)),0,OFFSET('HARGA SATUAN'!$I$6,MATCH(RAB!C25,'HARGA SATUAN'!$C$7:$C$1492,0),0))</f>
        <v>2300</v>
      </c>
      <c r="H25" s="356">
        <f t="shared" ca="1" si="20"/>
        <v>0</v>
      </c>
      <c r="I25" s="356">
        <f t="shared" ca="1" si="21"/>
        <v>11500</v>
      </c>
      <c r="J25" s="356">
        <f t="shared" ca="1" si="22"/>
        <v>0</v>
      </c>
      <c r="K25" s="357">
        <f t="shared" ca="1" si="23"/>
        <v>11500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9">
        <v>4</v>
      </c>
      <c r="C26" s="500" t="s">
        <v>609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91">
        <f>F22*1</f>
        <v>5</v>
      </c>
      <c r="G26" s="355">
        <f ca="1">IF(ISERROR(OFFSET('HARGA SATUAN'!$I$6,MATCH(RAB!C26,'HARGA SATUAN'!$C$7:$C$1492,0),0)),0,OFFSET('HARGA SATUAN'!$I$6,MATCH(RAB!C26,'HARGA SATUAN'!$C$7:$C$1492,0),0))</f>
        <v>71000</v>
      </c>
      <c r="H26" s="356">
        <f t="shared" ca="1" si="20"/>
        <v>0</v>
      </c>
      <c r="I26" s="356">
        <f t="shared" ca="1" si="21"/>
        <v>355000</v>
      </c>
      <c r="J26" s="356">
        <f t="shared" ca="1" si="22"/>
        <v>0</v>
      </c>
      <c r="K26" s="357">
        <f t="shared" ca="1" si="23"/>
        <v>355000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9">
        <v>5</v>
      </c>
      <c r="C27" s="500" t="s">
        <v>629</v>
      </c>
      <c r="D27" s="353" t="str">
        <f ca="1">IF(ISERROR(OFFSET('HARGA SATUAN'!$D$6,MATCH(RAB!C27,'HARGA SATUAN'!$C$7:$C$1492,0),0)),"",OFFSET('HARGA SATUAN'!$D$6,MATCH(RAB!C27,'HARGA SATUAN'!$C$7:$C$1492,0),0))</f>
        <v>JASA</v>
      </c>
      <c r="E27" s="354" t="str">
        <f ca="1">IF(B27="+","Unit",IF(ISERROR(OFFSET('HARGA SATUAN'!$E$6,MATCH(RAB!C27,'HARGA SATUAN'!$C$7:$C$1492,0),0)),"",OFFSET('HARGA SATUAN'!$E$6,MATCH(RAB!C27,'HARGA SATUAN'!$C$7:$C$1492,0),0)))</f>
        <v>Unit</v>
      </c>
      <c r="F27" s="491">
        <f>F22*1</f>
        <v>5</v>
      </c>
      <c r="G27" s="355">
        <f ca="1">IF(ISERROR(OFFSET('HARGA SATUAN'!$I$6,MATCH(RAB!C27,'HARGA SATUAN'!$C$7:$C$1492,0),0)),0,OFFSET('HARGA SATUAN'!$I$6,MATCH(RAB!C27,'HARGA SATUAN'!$C$7:$C$1492,0),0))</f>
        <v>29400</v>
      </c>
      <c r="H27" s="356">
        <f t="shared" ca="1" si="20"/>
        <v>0</v>
      </c>
      <c r="I27" s="356">
        <f t="shared" ca="1" si="21"/>
        <v>0</v>
      </c>
      <c r="J27" s="356">
        <f t="shared" ca="1" si="22"/>
        <v>147000</v>
      </c>
      <c r="K27" s="357">
        <f t="shared" ca="1" si="23"/>
        <v>147000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86"/>
      <c r="C28" s="487"/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/>
      </c>
      <c r="F28" s="361"/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ca="1" si="20"/>
        <v>0</v>
      </c>
      <c r="I28" s="356">
        <f t="shared" ca="1" si="21"/>
        <v>0</v>
      </c>
      <c r="J28" s="356">
        <f t="shared" ca="1" si="22"/>
        <v>0</v>
      </c>
      <c r="K28" s="357">
        <f t="shared" ca="1" si="23"/>
        <v>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3" t="s">
        <v>1035</v>
      </c>
      <c r="C29" s="494" t="s">
        <v>1612</v>
      </c>
      <c r="D29" s="353" t="str">
        <f ca="1">IF(ISERROR(OFFSET('HARGA SATUAN'!$D$6,MATCH(RAB!C29,'HARGA SATUAN'!$C$7:$C$1492,0),0)),"",OFFSET('HARGA SATUAN'!$D$6,MATCH(RAB!C29,'HARGA SATUAN'!$C$7:$C$1492,0),0))</f>
        <v/>
      </c>
      <c r="E29" s="354" t="str">
        <f ca="1">IF(B29="+","Unit",IF(ISERROR(OFFSET('HARGA SATUAN'!$E$6,MATCH(RAB!C29,'HARGA SATUAN'!$C$7:$C$1492,0),0)),"",OFFSET('HARGA SATUAN'!$E$6,MATCH(RAB!C29,'HARGA SATUAN'!$C$7:$C$1492,0),0)))</f>
        <v>Unit</v>
      </c>
      <c r="F29" s="491">
        <v>3</v>
      </c>
      <c r="G29" s="355">
        <f ca="1">IF(ISERROR(OFFSET('HARGA SATUAN'!$I$6,MATCH(RAB!C29,'HARGA SATUAN'!$C$7:$C$1492,0),0)),0,OFFSET('HARGA SATUAN'!$I$6,MATCH(RAB!C29,'HARGA SATUAN'!$C$7:$C$1492,0),0))</f>
        <v>0</v>
      </c>
      <c r="H29" s="356">
        <f t="shared" ref="H29:H41" ca="1" si="24">IF(OR(D29="MDU",D29="MDU-KD"),(IF($O$3="RAB NON MDU","PLN KD",G29*F29)),0)</f>
        <v>0</v>
      </c>
      <c r="I29" s="356">
        <f t="shared" ref="I29:I41" ca="1" si="25">IF(D29="HDW",G29*F29,0)</f>
        <v>0</v>
      </c>
      <c r="J29" s="356">
        <f t="shared" ref="J29:J41" ca="1" si="26">IF(D29="JASA",G29*F29,0)</f>
        <v>0</v>
      </c>
      <c r="K29" s="357">
        <f t="shared" ref="K29:K41" ca="1" si="27">SUM(H29:J29)</f>
        <v>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3">
        <v>1</v>
      </c>
      <c r="C30" s="494" t="s">
        <v>595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91">
        <f>F29*1</f>
        <v>3</v>
      </c>
      <c r="G30" s="355">
        <f ca="1">IF(ISERROR(OFFSET('HARGA SATUAN'!$I$6,MATCH(RAB!C30,'HARGA SATUAN'!$C$7:$C$1492,0),0)),0,OFFSET('HARGA SATUAN'!$I$6,MATCH(RAB!C30,'HARGA SATUAN'!$C$7:$C$1492,0),0))</f>
        <v>78500</v>
      </c>
      <c r="H30" s="356">
        <f t="shared" ca="1" si="24"/>
        <v>0</v>
      </c>
      <c r="I30" s="356">
        <f t="shared" ca="1" si="25"/>
        <v>235500</v>
      </c>
      <c r="J30" s="356">
        <f t="shared" ca="1" si="26"/>
        <v>0</v>
      </c>
      <c r="K30" s="357">
        <f t="shared" ca="1" si="27"/>
        <v>235500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3">
        <v>2</v>
      </c>
      <c r="C31" s="494" t="s">
        <v>229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91">
        <f>F29*1</f>
        <v>3</v>
      </c>
      <c r="G31" s="355">
        <f ca="1">IF(ISERROR(OFFSET('HARGA SATUAN'!$I$6,MATCH(RAB!C31,'HARGA SATUAN'!$C$7:$C$1492,0),0)),0,OFFSET('HARGA SATUAN'!$I$6,MATCH(RAB!C31,'HARGA SATUAN'!$C$7:$C$1492,0),0))</f>
        <v>4212</v>
      </c>
      <c r="H31" s="356">
        <f t="shared" ca="1" si="24"/>
        <v>0</v>
      </c>
      <c r="I31" s="356">
        <f t="shared" ca="1" si="25"/>
        <v>12636</v>
      </c>
      <c r="J31" s="356">
        <f t="shared" ca="1" si="26"/>
        <v>0</v>
      </c>
      <c r="K31" s="357">
        <f t="shared" ca="1" si="27"/>
        <v>12636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3">
        <v>3</v>
      </c>
      <c r="C32" s="494" t="s">
        <v>266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Mtr</v>
      </c>
      <c r="F32" s="491">
        <f>F29*1</f>
        <v>3</v>
      </c>
      <c r="G32" s="355">
        <f ca="1">IF(ISERROR(OFFSET('HARGA SATUAN'!$I$6,MATCH(RAB!C32,'HARGA SATUAN'!$C$7:$C$1492,0),0)),0,OFFSET('HARGA SATUAN'!$I$6,MATCH(RAB!C32,'HARGA SATUAN'!$C$7:$C$1492,0),0))</f>
        <v>23310</v>
      </c>
      <c r="H32" s="356">
        <f t="shared" ca="1" si="24"/>
        <v>0</v>
      </c>
      <c r="I32" s="356">
        <f t="shared" ca="1" si="25"/>
        <v>69930</v>
      </c>
      <c r="J32" s="356">
        <f t="shared" ca="1" si="26"/>
        <v>0</v>
      </c>
      <c r="K32" s="357">
        <f t="shared" ca="1" si="27"/>
        <v>69930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3">
        <v>4</v>
      </c>
      <c r="C33" s="494" t="s">
        <v>35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91">
        <f>F29*1</f>
        <v>3</v>
      </c>
      <c r="G33" s="355">
        <f ca="1">IF(ISERROR(OFFSET('HARGA SATUAN'!$I$6,MATCH(RAB!C33,'HARGA SATUAN'!$C$7:$C$1492,0),0)),0,OFFSET('HARGA SATUAN'!$I$6,MATCH(RAB!C33,'HARGA SATUAN'!$C$7:$C$1492,0),0))</f>
        <v>2300</v>
      </c>
      <c r="H33" s="356">
        <f t="shared" ca="1" si="24"/>
        <v>0</v>
      </c>
      <c r="I33" s="356">
        <f t="shared" ca="1" si="25"/>
        <v>6900</v>
      </c>
      <c r="J33" s="356">
        <f t="shared" ca="1" si="26"/>
        <v>0</v>
      </c>
      <c r="K33" s="357">
        <f t="shared" ca="1" si="27"/>
        <v>6900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3">
        <v>5</v>
      </c>
      <c r="C34" s="494" t="s">
        <v>630</v>
      </c>
      <c r="D34" s="353" t="str">
        <f ca="1">IF(ISERROR(OFFSET('HARGA SATUAN'!$D$6,MATCH(RAB!C34,'HARGA SATUAN'!$C$7:$C$1492,0),0)),"",OFFSET('HARGA SATUAN'!$D$6,MATCH(RAB!C34,'HARGA SATUAN'!$C$7:$C$1492,0),0))</f>
        <v>JASA</v>
      </c>
      <c r="E34" s="354" t="str">
        <f ca="1">IF(B34="+","Unit",IF(ISERROR(OFFSET('HARGA SATUAN'!$E$6,MATCH(RAB!C34,'HARGA SATUAN'!$C$7:$C$1492,0),0)),"",OFFSET('HARGA SATUAN'!$E$6,MATCH(RAB!C34,'HARGA SATUAN'!$C$7:$C$1492,0),0)))</f>
        <v>Unit</v>
      </c>
      <c r="F34" s="491">
        <f>F29*1</f>
        <v>3</v>
      </c>
      <c r="G34" s="355">
        <f ca="1">IF(ISERROR(OFFSET('HARGA SATUAN'!$I$6,MATCH(RAB!C34,'HARGA SATUAN'!$C$7:$C$1492,0),0)),0,OFFSET('HARGA SATUAN'!$I$6,MATCH(RAB!C34,'HARGA SATUAN'!$C$7:$C$1492,0),0))</f>
        <v>35700</v>
      </c>
      <c r="H34" s="356">
        <f t="shared" ca="1" si="24"/>
        <v>0</v>
      </c>
      <c r="I34" s="356">
        <f t="shared" ca="1" si="25"/>
        <v>0</v>
      </c>
      <c r="J34" s="356">
        <f t="shared" ca="1" si="26"/>
        <v>107100</v>
      </c>
      <c r="K34" s="357">
        <f t="shared" ca="1" si="27"/>
        <v>107100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86"/>
      <c r="C35" s="487"/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/>
      </c>
      <c r="F35" s="361"/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ca="1" si="24"/>
        <v>0</v>
      </c>
      <c r="I35" s="356">
        <f t="shared" ca="1" si="25"/>
        <v>0</v>
      </c>
      <c r="J35" s="356">
        <f t="shared" ca="1" si="26"/>
        <v>0</v>
      </c>
      <c r="K35" s="357">
        <f t="shared" ca="1" si="27"/>
        <v>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93" t="s">
        <v>1035</v>
      </c>
      <c r="C36" s="494" t="s">
        <v>1613</v>
      </c>
      <c r="D36" s="353" t="str">
        <f ca="1">IF(ISERROR(OFFSET('HARGA SATUAN'!$D$6,MATCH(RAB!C36,'HARGA SATUAN'!$C$7:$C$1492,0),0)),"",OFFSET('HARGA SATUAN'!$D$6,MATCH(RAB!C36,'HARGA SATUAN'!$C$7:$C$1492,0),0))</f>
        <v/>
      </c>
      <c r="E36" s="354" t="str">
        <f ca="1">IF(B36="+","Unit",IF(ISERROR(OFFSET('HARGA SATUAN'!$E$6,MATCH(RAB!C36,'HARGA SATUAN'!$C$7:$C$1492,0),0)),"",OFFSET('HARGA SATUAN'!$E$6,MATCH(RAB!C36,'HARGA SATUAN'!$C$7:$C$1492,0),0)))</f>
        <v>Unit</v>
      </c>
      <c r="F36" s="491">
        <v>1</v>
      </c>
      <c r="G36" s="355">
        <f ca="1">IF(ISERROR(OFFSET('HARGA SATUAN'!$I$6,MATCH(RAB!C36,'HARGA SATUAN'!$C$7:$C$1492,0),0)),0,OFFSET('HARGA SATUAN'!$I$6,MATCH(RAB!C36,'HARGA SATUAN'!$C$7:$C$1492,0),0))</f>
        <v>0</v>
      </c>
      <c r="H36" s="356">
        <f t="shared" ca="1" si="24"/>
        <v>0</v>
      </c>
      <c r="I36" s="356">
        <f t="shared" ca="1" si="25"/>
        <v>0</v>
      </c>
      <c r="J36" s="356">
        <f t="shared" ca="1" si="26"/>
        <v>0</v>
      </c>
      <c r="K36" s="357">
        <f t="shared" ca="1" si="27"/>
        <v>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93">
        <v>1</v>
      </c>
      <c r="C37" s="494" t="s">
        <v>598</v>
      </c>
      <c r="D37" s="353" t="str">
        <f ca="1">IF(ISERROR(OFFSET('HARGA SATUAN'!$D$6,MATCH(RAB!C37,'HARGA SATUAN'!$C$7:$C$1492,0),0)),"",OFFSET('HARGA SATUAN'!$D$6,MATCH(RAB!C37,'HARGA SATUAN'!$C$7:$C$1492,0),0))</f>
        <v>HDW</v>
      </c>
      <c r="E37" s="354" t="str">
        <f ca="1">IF(B37="+","Unit",IF(ISERROR(OFFSET('HARGA SATUAN'!$E$6,MATCH(RAB!C37,'HARGA SATUAN'!$C$7:$C$1492,0),0)),"",OFFSET('HARGA SATUAN'!$E$6,MATCH(RAB!C37,'HARGA SATUAN'!$C$7:$C$1492,0),0)))</f>
        <v>Bh</v>
      </c>
      <c r="F37" s="491">
        <v>1</v>
      </c>
      <c r="G37" s="355">
        <f ca="1">IF(ISERROR(OFFSET('HARGA SATUAN'!$I$6,MATCH(RAB!C37,'HARGA SATUAN'!$C$7:$C$1492,0),0)),0,OFFSET('HARGA SATUAN'!$I$6,MATCH(RAB!C37,'HARGA SATUAN'!$C$7:$C$1492,0),0))</f>
        <v>3965</v>
      </c>
      <c r="H37" s="356">
        <f t="shared" ca="1" si="24"/>
        <v>0</v>
      </c>
      <c r="I37" s="356">
        <f t="shared" ca="1" si="25"/>
        <v>3965</v>
      </c>
      <c r="J37" s="356">
        <f t="shared" ca="1" si="26"/>
        <v>0</v>
      </c>
      <c r="K37" s="357">
        <f t="shared" ca="1" si="27"/>
        <v>3965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93">
        <v>2</v>
      </c>
      <c r="C38" s="494" t="s">
        <v>474</v>
      </c>
      <c r="D38" s="353" t="str">
        <f ca="1">IF(ISERROR(OFFSET('HARGA SATUAN'!$D$6,MATCH(RAB!C38,'HARGA SATUAN'!$C$7:$C$1492,0),0)),"",OFFSET('HARGA SATUAN'!$D$6,MATCH(RAB!C38,'HARGA SATUAN'!$C$7:$C$1492,0),0))</f>
        <v>HDW</v>
      </c>
      <c r="E38" s="354" t="str">
        <f ca="1">IF(B38="+","Unit",IF(ISERROR(OFFSET('HARGA SATUAN'!$E$6,MATCH(RAB!C38,'HARGA SATUAN'!$C$7:$C$1492,0),0)),"",OFFSET('HARGA SATUAN'!$E$6,MATCH(RAB!C38,'HARGA SATUAN'!$C$7:$C$1492,0),0)))</f>
        <v>Bh</v>
      </c>
      <c r="F38" s="491">
        <v>1</v>
      </c>
      <c r="G38" s="355">
        <f ca="1">IF(ISERROR(OFFSET('HARGA SATUAN'!$I$6,MATCH(RAB!C38,'HARGA SATUAN'!$C$7:$C$1492,0),0)),0,OFFSET('HARGA SATUAN'!$I$6,MATCH(RAB!C38,'HARGA SATUAN'!$C$7:$C$1492,0),0))</f>
        <v>3711.24</v>
      </c>
      <c r="H38" s="356">
        <f t="shared" ca="1" si="24"/>
        <v>0</v>
      </c>
      <c r="I38" s="356">
        <f t="shared" ca="1" si="25"/>
        <v>3711.24</v>
      </c>
      <c r="J38" s="356">
        <f t="shared" ca="1" si="26"/>
        <v>0</v>
      </c>
      <c r="K38" s="357">
        <f t="shared" ca="1" si="27"/>
        <v>3711.24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3">
        <v>3</v>
      </c>
      <c r="C39" s="494" t="s">
        <v>266</v>
      </c>
      <c r="D39" s="353" t="str">
        <f ca="1">IF(ISERROR(OFFSET('HARGA SATUAN'!$D$6,MATCH(RAB!C39,'HARGA SATUAN'!$C$7:$C$1492,0),0)),"",OFFSET('HARGA SATUAN'!$D$6,MATCH(RAB!C39,'HARGA SATUAN'!$C$7:$C$1492,0),0))</f>
        <v>HDW</v>
      </c>
      <c r="E39" s="354" t="str">
        <f ca="1">IF(B39="+","Unit",IF(ISERROR(OFFSET('HARGA SATUAN'!$E$6,MATCH(RAB!C39,'HARGA SATUAN'!$C$7:$C$1492,0),0)),"",OFFSET('HARGA SATUAN'!$E$6,MATCH(RAB!C39,'HARGA SATUAN'!$C$7:$C$1492,0),0)))</f>
        <v>Mtr</v>
      </c>
      <c r="F39" s="491">
        <v>1</v>
      </c>
      <c r="G39" s="355">
        <f ca="1">IF(ISERROR(OFFSET('HARGA SATUAN'!$I$6,MATCH(RAB!C39,'HARGA SATUAN'!$C$7:$C$1492,0),0)),0,OFFSET('HARGA SATUAN'!$I$6,MATCH(RAB!C39,'HARGA SATUAN'!$C$7:$C$1492,0),0))</f>
        <v>23310</v>
      </c>
      <c r="H39" s="356">
        <f t="shared" ca="1" si="24"/>
        <v>0</v>
      </c>
      <c r="I39" s="356">
        <f t="shared" ca="1" si="25"/>
        <v>23310</v>
      </c>
      <c r="J39" s="356">
        <f t="shared" ca="1" si="26"/>
        <v>0</v>
      </c>
      <c r="K39" s="357">
        <f t="shared" ca="1" si="27"/>
        <v>23310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93">
        <v>4</v>
      </c>
      <c r="C40" s="494" t="s">
        <v>35</v>
      </c>
      <c r="D40" s="353" t="str">
        <f ca="1">IF(ISERROR(OFFSET('HARGA SATUAN'!$D$6,MATCH(RAB!C40,'HARGA SATUAN'!$C$7:$C$1492,0),0)),"",OFFSET('HARGA SATUAN'!$D$6,MATCH(RAB!C40,'HARGA SATUAN'!$C$7:$C$1492,0),0))</f>
        <v>HDW</v>
      </c>
      <c r="E40" s="354" t="str">
        <f ca="1">IF(B40="+","Unit",IF(ISERROR(OFFSET('HARGA SATUAN'!$E$6,MATCH(RAB!C40,'HARGA SATUAN'!$C$7:$C$1492,0),0)),"",OFFSET('HARGA SATUAN'!$E$6,MATCH(RAB!C40,'HARGA SATUAN'!$C$7:$C$1492,0),0)))</f>
        <v>Bh</v>
      </c>
      <c r="F40" s="491">
        <v>1</v>
      </c>
      <c r="G40" s="355">
        <f ca="1">IF(ISERROR(OFFSET('HARGA SATUAN'!$I$6,MATCH(RAB!C40,'HARGA SATUAN'!$C$7:$C$1492,0),0)),0,OFFSET('HARGA SATUAN'!$I$6,MATCH(RAB!C40,'HARGA SATUAN'!$C$7:$C$1492,0),0))</f>
        <v>2300</v>
      </c>
      <c r="H40" s="356">
        <f t="shared" ca="1" si="24"/>
        <v>0</v>
      </c>
      <c r="I40" s="356">
        <f t="shared" ca="1" si="25"/>
        <v>2300</v>
      </c>
      <c r="J40" s="356">
        <f t="shared" ca="1" si="26"/>
        <v>0</v>
      </c>
      <c r="K40" s="357">
        <f t="shared" ca="1" si="27"/>
        <v>2300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93">
        <v>5</v>
      </c>
      <c r="C41" s="494" t="s">
        <v>632</v>
      </c>
      <c r="D41" s="353" t="str">
        <f ca="1">IF(ISERROR(OFFSET('HARGA SATUAN'!$D$6,MATCH(RAB!C41,'HARGA SATUAN'!$C$7:$C$1492,0),0)),"",OFFSET('HARGA SATUAN'!$D$6,MATCH(RAB!C41,'HARGA SATUAN'!$C$7:$C$1492,0),0))</f>
        <v>JASA</v>
      </c>
      <c r="E41" s="354" t="str">
        <f ca="1">IF(B41="+","Unit",IF(ISERROR(OFFSET('HARGA SATUAN'!$E$6,MATCH(RAB!C41,'HARGA SATUAN'!$C$7:$C$1492,0),0)),"",OFFSET('HARGA SATUAN'!$E$6,MATCH(RAB!C41,'HARGA SATUAN'!$C$7:$C$1492,0),0)))</f>
        <v>Unit</v>
      </c>
      <c r="F41" s="491">
        <v>1</v>
      </c>
      <c r="G41" s="355">
        <f ca="1">IF(ISERROR(OFFSET('HARGA SATUAN'!$I$6,MATCH(RAB!C41,'HARGA SATUAN'!$C$7:$C$1492,0),0)),0,OFFSET('HARGA SATUAN'!$I$6,MATCH(RAB!C41,'HARGA SATUAN'!$C$7:$C$1492,0),0))</f>
        <v>22700</v>
      </c>
      <c r="H41" s="356">
        <f t="shared" ca="1" si="24"/>
        <v>0</v>
      </c>
      <c r="I41" s="356">
        <f t="shared" ca="1" si="25"/>
        <v>0</v>
      </c>
      <c r="J41" s="356">
        <f t="shared" ca="1" si="26"/>
        <v>22700</v>
      </c>
      <c r="K41" s="357">
        <f t="shared" ca="1" si="27"/>
        <v>22700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93"/>
      <c r="C42" s="494"/>
      <c r="D42" s="353" t="str">
        <f ca="1">IF(ISERROR(OFFSET('HARGA SATUAN'!$D$6,MATCH(RAB!C42,'HARGA SATUAN'!$C$7:$C$1492,0),0)),"",OFFSET('HARGA SATUAN'!$D$6,MATCH(RAB!C42,'HARGA SATUAN'!$C$7:$C$1492,0),0))</f>
        <v/>
      </c>
      <c r="E42" s="354" t="str">
        <f ca="1">IF(B42="+","Unit",IF(ISERROR(OFFSET('HARGA SATUAN'!$E$6,MATCH(RAB!C42,'HARGA SATUAN'!$C$7:$C$1492,0),0)),"",OFFSET('HARGA SATUAN'!$E$6,MATCH(RAB!C42,'HARGA SATUAN'!$C$7:$C$1492,0),0)))</f>
        <v/>
      </c>
      <c r="F42" s="491"/>
      <c r="G42" s="355">
        <f ca="1">IF(ISERROR(OFFSET('HARGA SATUAN'!$I$6,MATCH(RAB!C42,'HARGA SATUAN'!$C$7:$C$1492,0),0)),0,OFFSET('HARGA SATUAN'!$I$6,MATCH(RAB!C42,'HARGA SATUAN'!$C$7:$C$1492,0),0))</f>
        <v>0</v>
      </c>
      <c r="H42" s="356">
        <f t="shared" ref="H42:H47" ca="1" si="28">IF(OR(D42="MDU",D42="MDU-KD"),(IF($O$3="RAB NON MDU","PLN KD",G42*F42)),0)</f>
        <v>0</v>
      </c>
      <c r="I42" s="356">
        <f t="shared" ref="I42:I47" ca="1" si="29">IF(D42="HDW",G42*F42,0)</f>
        <v>0</v>
      </c>
      <c r="J42" s="356">
        <f t="shared" ref="J42:J47" ca="1" si="30">IF(D42="JASA",G42*F42,0)</f>
        <v>0</v>
      </c>
      <c r="K42" s="357">
        <f t="shared" ref="K42:K47" ca="1" si="31">SUM(H42:J42)</f>
        <v>0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93"/>
      <c r="C43" s="496" t="s">
        <v>1614</v>
      </c>
      <c r="D43" s="353" t="str">
        <f ca="1">IF(ISERROR(OFFSET('HARGA SATUAN'!$D$6,MATCH(RAB!C43,'HARGA SATUAN'!$C$7:$C$1492,0),0)),"",OFFSET('HARGA SATUAN'!$D$6,MATCH(RAB!C43,'HARGA SATUAN'!$C$7:$C$1492,0),0))</f>
        <v/>
      </c>
      <c r="E43" s="354" t="str">
        <f ca="1">IF(B43="+","Unit",IF(ISERROR(OFFSET('HARGA SATUAN'!$E$6,MATCH(RAB!C43,'HARGA SATUAN'!$C$7:$C$1492,0),0)),"",OFFSET('HARGA SATUAN'!$E$6,MATCH(RAB!C43,'HARGA SATUAN'!$C$7:$C$1492,0),0)))</f>
        <v/>
      </c>
      <c r="F43" s="491"/>
      <c r="G43" s="355">
        <f ca="1">IF(ISERROR(OFFSET('HARGA SATUAN'!$I$6,MATCH(RAB!C43,'HARGA SATUAN'!$C$7:$C$1492,0),0)),0,OFFSET('HARGA SATUAN'!$I$6,MATCH(RAB!C43,'HARGA SATUAN'!$C$7:$C$1492,0),0))</f>
        <v>0</v>
      </c>
      <c r="H43" s="356">
        <f t="shared" ca="1" si="28"/>
        <v>0</v>
      </c>
      <c r="I43" s="356">
        <f t="shared" ca="1" si="29"/>
        <v>0</v>
      </c>
      <c r="J43" s="356">
        <f t="shared" ca="1" si="30"/>
        <v>0</v>
      </c>
      <c r="K43" s="357">
        <f t="shared" ca="1" si="31"/>
        <v>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93"/>
      <c r="C44" s="494"/>
      <c r="D44" s="353" t="str">
        <f ca="1">IF(ISERROR(OFFSET('HARGA SATUAN'!$D$6,MATCH(RAB!C44,'HARGA SATUAN'!$C$7:$C$1492,0),0)),"",OFFSET('HARGA SATUAN'!$D$6,MATCH(RAB!C44,'HARGA SATUAN'!$C$7:$C$1492,0),0))</f>
        <v/>
      </c>
      <c r="E44" s="354" t="str">
        <f ca="1">IF(B44="+","Unit",IF(ISERROR(OFFSET('HARGA SATUAN'!$E$6,MATCH(RAB!C44,'HARGA SATUAN'!$C$7:$C$1492,0),0)),"",OFFSET('HARGA SATUAN'!$E$6,MATCH(RAB!C44,'HARGA SATUAN'!$C$7:$C$1492,0),0)))</f>
        <v/>
      </c>
      <c r="F44" s="491"/>
      <c r="G44" s="355">
        <f ca="1">IF(ISERROR(OFFSET('HARGA SATUAN'!$I$6,MATCH(RAB!C44,'HARGA SATUAN'!$C$7:$C$1492,0),0)),0,OFFSET('HARGA SATUAN'!$I$6,MATCH(RAB!C44,'HARGA SATUAN'!$C$7:$C$1492,0),0))</f>
        <v>0</v>
      </c>
      <c r="H44" s="356">
        <f t="shared" ca="1" si="28"/>
        <v>0</v>
      </c>
      <c r="I44" s="356">
        <f t="shared" ca="1" si="29"/>
        <v>0</v>
      </c>
      <c r="J44" s="356">
        <f t="shared" ca="1" si="30"/>
        <v>0</v>
      </c>
      <c r="K44" s="357">
        <f t="shared" ca="1" si="31"/>
        <v>0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93">
        <v>1</v>
      </c>
      <c r="C45" s="109" t="s">
        <v>1459</v>
      </c>
      <c r="D45" s="353" t="str">
        <f ca="1">IF(ISERROR(OFFSET('HARGA SATUAN'!$D$6,MATCH(RAB!C45,'HARGA SATUAN'!$C$7:$C$1492,0),0)),"",OFFSET('HARGA SATUAN'!$D$6,MATCH(RAB!C45,'HARGA SATUAN'!$C$7:$C$1492,0),0))</f>
        <v>MDU-KD</v>
      </c>
      <c r="E45" s="354" t="str">
        <f ca="1">IF(B45="+","Unit",IF(ISERROR(OFFSET('HARGA SATUAN'!$E$6,MATCH(RAB!C45,'HARGA SATUAN'!$C$7:$C$1492,0),0)),"",OFFSET('HARGA SATUAN'!$E$6,MATCH(RAB!C45,'HARGA SATUAN'!$C$7:$C$1492,0),0)))</f>
        <v>Mtr</v>
      </c>
      <c r="F45" s="361">
        <v>300</v>
      </c>
      <c r="G45" s="355">
        <f ca="1">IF(ISERROR(OFFSET('HARGA SATUAN'!$I$6,MATCH(RAB!C45,'HARGA SATUAN'!$C$7:$C$1492,0),0)),0,OFFSET('HARGA SATUAN'!$I$6,MATCH(RAB!C45,'HARGA SATUAN'!$C$7:$C$1492,0),0))</f>
        <v>54500</v>
      </c>
      <c r="H45" s="356">
        <f t="shared" ca="1" si="28"/>
        <v>16350000</v>
      </c>
      <c r="I45" s="356">
        <f t="shared" ca="1" si="29"/>
        <v>0</v>
      </c>
      <c r="J45" s="356">
        <f t="shared" ca="1" si="30"/>
        <v>0</v>
      </c>
      <c r="K45" s="357">
        <f t="shared" ca="1" si="31"/>
        <v>16350000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93">
        <v>2</v>
      </c>
      <c r="C46" s="109" t="s">
        <v>346</v>
      </c>
      <c r="D46" s="353" t="str">
        <f ca="1">IF(ISERROR(OFFSET('HARGA SATUAN'!$D$6,MATCH(RAB!C46,'HARGA SATUAN'!$C$7:$C$1492,0),0)),"",OFFSET('HARGA SATUAN'!$D$6,MATCH(RAB!C46,'HARGA SATUAN'!$C$7:$C$1492,0),0))</f>
        <v>JASA</v>
      </c>
      <c r="E46" s="354" t="str">
        <f ca="1">IF(B46="+","Unit",IF(ISERROR(OFFSET('HARGA SATUAN'!$E$6,MATCH(RAB!C46,'HARGA SATUAN'!$C$7:$C$1492,0),0)),"",OFFSET('HARGA SATUAN'!$E$6,MATCH(RAB!C46,'HARGA SATUAN'!$C$7:$C$1492,0),0)))</f>
        <v>Per 50 m</v>
      </c>
      <c r="F46" s="361">
        <f>F45/50</f>
        <v>6</v>
      </c>
      <c r="G46" s="355">
        <f ca="1">IF(ISERROR(OFFSET('HARGA SATUAN'!$I$6,MATCH(RAB!C46,'HARGA SATUAN'!$C$7:$C$1492,0),0)),0,OFFSET('HARGA SATUAN'!$I$6,MATCH(RAB!C46,'HARGA SATUAN'!$C$7:$C$1492,0),0))</f>
        <v>223500</v>
      </c>
      <c r="H46" s="356">
        <f t="shared" ca="1" si="28"/>
        <v>0</v>
      </c>
      <c r="I46" s="356">
        <f t="shared" ca="1" si="29"/>
        <v>0</v>
      </c>
      <c r="J46" s="356">
        <f t="shared" ca="1" si="30"/>
        <v>1341000</v>
      </c>
      <c r="K46" s="357">
        <f t="shared" ca="1" si="31"/>
        <v>1341000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93"/>
      <c r="C47" s="109"/>
      <c r="D47" s="353" t="str">
        <f ca="1">IF(ISERROR(OFFSET('HARGA SATUAN'!$D$6,MATCH(RAB!C47,'HARGA SATUAN'!$C$7:$C$1492,0),0)),"",OFFSET('HARGA SATUAN'!$D$6,MATCH(RAB!C47,'HARGA SATUAN'!$C$7:$C$1492,0),0))</f>
        <v/>
      </c>
      <c r="E47" s="354" t="str">
        <f ca="1">IF(B47="+","Unit",IF(ISERROR(OFFSET('HARGA SATUAN'!$E$6,MATCH(RAB!C47,'HARGA SATUAN'!$C$7:$C$1492,0),0)),"",OFFSET('HARGA SATUAN'!$E$6,MATCH(RAB!C47,'HARGA SATUAN'!$C$7:$C$1492,0),0)))</f>
        <v/>
      </c>
      <c r="F47" s="491"/>
      <c r="G47" s="355">
        <f ca="1">IF(ISERROR(OFFSET('HARGA SATUAN'!$I$6,MATCH(RAB!C47,'HARGA SATUAN'!$C$7:$C$1492,0),0)),0,OFFSET('HARGA SATUAN'!$I$6,MATCH(RAB!C47,'HARGA SATUAN'!$C$7:$C$1492,0),0))</f>
        <v>0</v>
      </c>
      <c r="H47" s="356">
        <f t="shared" ca="1" si="28"/>
        <v>0</v>
      </c>
      <c r="I47" s="356">
        <f t="shared" ca="1" si="29"/>
        <v>0</v>
      </c>
      <c r="J47" s="356">
        <f t="shared" ca="1" si="30"/>
        <v>0</v>
      </c>
      <c r="K47" s="357">
        <f t="shared" ca="1" si="31"/>
        <v>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84" t="s">
        <v>524</v>
      </c>
      <c r="C48" s="485" t="s">
        <v>1608</v>
      </c>
      <c r="D48" s="353" t="str">
        <f ca="1">IF(ISERROR(OFFSET('HARGA SATUAN'!$D$6,MATCH(RAB!C48,'HARGA SATUAN'!$C$7:$C$1492,0),0)),"",OFFSET('HARGA SATUAN'!$D$6,MATCH(RAB!C48,'HARGA SATUAN'!$C$7:$C$1492,0),0))</f>
        <v/>
      </c>
      <c r="E48" s="354" t="str">
        <f ca="1">IF(B48="+","Unit",IF(ISERROR(OFFSET('HARGA SATUAN'!$E$6,MATCH(RAB!C48,'HARGA SATUAN'!$C$7:$C$1492,0),0)),"",OFFSET('HARGA SATUAN'!$E$6,MATCH(RAB!C48,'HARGA SATUAN'!$C$7:$C$1492,0),0)))</f>
        <v/>
      </c>
      <c r="F48" s="491"/>
      <c r="G48" s="355">
        <f ca="1">IF(ISERROR(OFFSET('HARGA SATUAN'!$I$6,MATCH(RAB!C48,'HARGA SATUAN'!$C$7:$C$1492,0),0)),0,OFFSET('HARGA SATUAN'!$I$6,MATCH(RAB!C48,'HARGA SATUAN'!$C$7:$C$1492,0),0))</f>
        <v>0</v>
      </c>
      <c r="H48" s="356">
        <f t="shared" ref="H48" ca="1" si="32">IF(OR(D48="MDU",D48="MDU-KD"),(IF($O$3="RAB NON MDU","PLN KD",G48*F48)),0)</f>
        <v>0</v>
      </c>
      <c r="I48" s="356">
        <f t="shared" ref="I48" ca="1" si="33">IF(D48="HDW",G48*F48,0)</f>
        <v>0</v>
      </c>
      <c r="J48" s="356">
        <f t="shared" ref="J48" ca="1" si="34">IF(D48="JASA",G48*F48,0)</f>
        <v>0</v>
      </c>
      <c r="K48" s="357">
        <f t="shared" ref="K48" ca="1" si="35">SUM(H48:J48)</f>
        <v>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84"/>
      <c r="C49" s="485"/>
      <c r="D49" s="353" t="str">
        <f ca="1">IF(ISERROR(OFFSET('HARGA SATUAN'!$D$6,MATCH(RAB!C49,'HARGA SATUAN'!$C$7:$C$1492,0),0)),"",OFFSET('HARGA SATUAN'!$D$6,MATCH(RAB!C49,'HARGA SATUAN'!$C$7:$C$1492,0),0))</f>
        <v/>
      </c>
      <c r="E49" s="354" t="str">
        <f ca="1">IF(B49="+","Unit",IF(ISERROR(OFFSET('HARGA SATUAN'!$E$6,MATCH(RAB!C49,'HARGA SATUAN'!$C$7:$C$1492,0),0)),"",OFFSET('HARGA SATUAN'!$E$6,MATCH(RAB!C49,'HARGA SATUAN'!$C$7:$C$1492,0),0)))</f>
        <v/>
      </c>
      <c r="F49" s="491"/>
      <c r="G49" s="355">
        <f ca="1">IF(ISERROR(OFFSET('HARGA SATUAN'!$I$6,MATCH(RAB!C49,'HARGA SATUAN'!$C$7:$C$1492,0),0)),0,OFFSET('HARGA SATUAN'!$I$6,MATCH(RAB!C49,'HARGA SATUAN'!$C$7:$C$1492,0),0))</f>
        <v>0</v>
      </c>
      <c r="H49" s="356">
        <f t="shared" ref="H49:H51" ca="1" si="36">IF(OR(D49="MDU",D49="MDU-KD"),(IF($O$3="RAB NON MDU","PLN KD",G49*F49)),0)</f>
        <v>0</v>
      </c>
      <c r="I49" s="356">
        <f t="shared" ref="I49:I51" ca="1" si="37">IF(D49="HDW",G49*F49,0)</f>
        <v>0</v>
      </c>
      <c r="J49" s="356">
        <f t="shared" ref="J49:J51" ca="1" si="38">IF(D49="JASA",G49*F49,0)</f>
        <v>0</v>
      </c>
      <c r="K49" s="357">
        <f t="shared" ref="K49:K51" ca="1" si="39">SUM(H49:J49)</f>
        <v>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0" customFormat="1">
      <c r="A50" s="333"/>
      <c r="B50" s="481" t="s">
        <v>526</v>
      </c>
      <c r="C50" s="482" t="s">
        <v>1609</v>
      </c>
      <c r="D50" s="353" t="str">
        <f ca="1">IF(ISERROR(OFFSET('HARGA SATUAN'!$D$6,MATCH(RAB!C50,'HARGA SATUAN'!$C$7:$C$1492,0),0)),"",OFFSET('HARGA SATUAN'!$D$6,MATCH(RAB!C50,'HARGA SATUAN'!$C$7:$C$1492,0),0))</f>
        <v/>
      </c>
      <c r="E50" s="354" t="str">
        <f ca="1">IF(B50="+","Unit",IF(ISERROR(OFFSET('HARGA SATUAN'!$E$6,MATCH(RAB!C50,'HARGA SATUAN'!$C$7:$C$1492,0),0)),"",OFFSET('HARGA SATUAN'!$E$6,MATCH(RAB!C50,'HARGA SATUAN'!$C$7:$C$1492,0),0)))</f>
        <v/>
      </c>
      <c r="F50" s="491"/>
      <c r="G50" s="355">
        <f ca="1">IF(ISERROR(OFFSET('HARGA SATUAN'!$I$6,MATCH(RAB!C50,'HARGA SATUAN'!$C$7:$C$1492,0),0)),0,OFFSET('HARGA SATUAN'!$I$6,MATCH(RAB!C50,'HARGA SATUAN'!$C$7:$C$1492,0),0))</f>
        <v>0</v>
      </c>
      <c r="H50" s="356">
        <f t="shared" ref="H50" ca="1" si="40">IF(OR(D50="MDU",D50="MDU-KD"),(IF($O$3="RAB NON MDU","PLN KD",G50*F50)),0)</f>
        <v>0</v>
      </c>
      <c r="I50" s="356">
        <f t="shared" ref="I50" ca="1" si="41">IF(D50="HDW",G50*F50,0)</f>
        <v>0</v>
      </c>
      <c r="J50" s="356">
        <f t="shared" ref="J50" ca="1" si="42">IF(D50="JASA",G50*F50,0)</f>
        <v>0</v>
      </c>
      <c r="K50" s="357">
        <f t="shared" ref="K50" ca="1" si="43">SUM(H50:J50)</f>
        <v>0</v>
      </c>
      <c r="L50" s="339"/>
      <c r="M50" s="339"/>
      <c r="N50" s="362"/>
      <c r="O50" s="341"/>
      <c r="P50" s="386"/>
      <c r="Q50" s="341"/>
    </row>
    <row r="51" spans="1:22" s="360" customFormat="1">
      <c r="A51" s="333"/>
      <c r="B51" s="481"/>
      <c r="C51" s="482"/>
      <c r="D51" s="353" t="str">
        <f ca="1">IF(ISERROR(OFFSET('HARGA SATUAN'!$D$6,MATCH(RAB!C51,'HARGA SATUAN'!$C$7:$C$1492,0),0)),"",OFFSET('HARGA SATUAN'!$D$6,MATCH(RAB!C51,'HARGA SATUAN'!$C$7:$C$1492,0),0))</f>
        <v/>
      </c>
      <c r="E51" s="354" t="str">
        <f ca="1">IF(B51="+","Unit",IF(ISERROR(OFFSET('HARGA SATUAN'!$E$6,MATCH(RAB!C51,'HARGA SATUAN'!$C$7:$C$1492,0),0)),"",OFFSET('HARGA SATUAN'!$E$6,MATCH(RAB!C51,'HARGA SATUAN'!$C$7:$C$1492,0),0)))</f>
        <v/>
      </c>
      <c r="F51" s="491"/>
      <c r="G51" s="355">
        <f ca="1">IF(ISERROR(OFFSET('HARGA SATUAN'!$I$6,MATCH(RAB!C51,'HARGA SATUAN'!$C$7:$C$1492,0),0)),0,OFFSET('HARGA SATUAN'!$I$6,MATCH(RAB!C51,'HARGA SATUAN'!$C$7:$C$1492,0),0))</f>
        <v>0</v>
      </c>
      <c r="H51" s="356">
        <f t="shared" ca="1" si="36"/>
        <v>0</v>
      </c>
      <c r="I51" s="356">
        <f t="shared" ca="1" si="37"/>
        <v>0</v>
      </c>
      <c r="J51" s="356">
        <f t="shared" ca="1" si="38"/>
        <v>0</v>
      </c>
      <c r="K51" s="357">
        <f t="shared" ca="1" si="39"/>
        <v>0</v>
      </c>
      <c r="L51" s="339"/>
      <c r="M51" s="339"/>
      <c r="N51" s="362"/>
      <c r="O51" s="341"/>
      <c r="P51" s="386"/>
      <c r="Q51" s="341"/>
    </row>
    <row r="52" spans="1:22" s="360" customFormat="1">
      <c r="A52" s="333"/>
      <c r="B52" s="492" t="s">
        <v>1035</v>
      </c>
      <c r="C52" s="495" t="s">
        <v>1620</v>
      </c>
      <c r="D52" s="353" t="str">
        <f ca="1">IF(ISERROR(OFFSET('HARGA SATUAN'!$D$6,MATCH(RAB!C52,'HARGA SATUAN'!$C$7:$C$1492,0),0)),"",OFFSET('HARGA SATUAN'!$D$6,MATCH(RAB!C52,'HARGA SATUAN'!$C$7:$C$1492,0),0))</f>
        <v/>
      </c>
      <c r="E52" s="354" t="str">
        <f ca="1">IF(B52="+","Unit",IF(ISERROR(OFFSET('HARGA SATUAN'!$E$6,MATCH(RAB!C52,'HARGA SATUAN'!$C$7:$C$1492,0),0)),"",OFFSET('HARGA SATUAN'!$E$6,MATCH(RAB!C52,'HARGA SATUAN'!$C$7:$C$1492,0),0)))</f>
        <v>Unit</v>
      </c>
      <c r="F52" s="501">
        <v>1</v>
      </c>
      <c r="G52" s="355">
        <f ca="1">IF(ISERROR(OFFSET('HARGA SATUAN'!$I$6,MATCH(RAB!C52,'HARGA SATUAN'!$C$7:$C$1492,0),0)),0,OFFSET('HARGA SATUAN'!$I$6,MATCH(RAB!C52,'HARGA SATUAN'!$C$7:$C$1492,0),0))</f>
        <v>0</v>
      </c>
      <c r="H52" s="356">
        <f t="shared" ref="H52:H57" ca="1" si="44">IF(OR(D52="MDU",D52="MDU-KD"),(IF($O$3="RAB NON MDU","PLN KD",G52*F52)),0)</f>
        <v>0</v>
      </c>
      <c r="I52" s="356">
        <f t="shared" ref="I52:I57" ca="1" si="45">IF(D52="HDW",G52*F52,0)</f>
        <v>0</v>
      </c>
      <c r="J52" s="356">
        <f t="shared" ref="J52:J57" ca="1" si="46">IF(D52="JASA",G52*F52,0)</f>
        <v>0</v>
      </c>
      <c r="K52" s="357">
        <f t="shared" ref="K52:K57" ca="1" si="47">SUM(H52:J52)</f>
        <v>0</v>
      </c>
      <c r="L52" s="339"/>
      <c r="M52" s="339"/>
      <c r="N52" s="362"/>
      <c r="O52" s="341"/>
      <c r="P52" s="386"/>
      <c r="Q52" s="341"/>
    </row>
    <row r="53" spans="1:22" s="360" customFormat="1">
      <c r="A53" s="333"/>
      <c r="B53" s="502">
        <v>1</v>
      </c>
      <c r="C53" s="109" t="s">
        <v>483</v>
      </c>
      <c r="D53" s="353" t="str">
        <f ca="1">IF(ISERROR(OFFSET('HARGA SATUAN'!$D$6,MATCH(RAB!C53,'HARGA SATUAN'!$C$7:$C$1492,0),0)),"",OFFSET('HARGA SATUAN'!$D$6,MATCH(RAB!C53,'HARGA SATUAN'!$C$7:$C$1492,0),0))</f>
        <v>HDW</v>
      </c>
      <c r="E53" s="354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F52*1</f>
        <v>1</v>
      </c>
      <c r="G53" s="355">
        <f ca="1">IF(ISERROR(OFFSET('HARGA SATUAN'!$I$6,MATCH(RAB!C53,'HARGA SATUAN'!$C$7:$C$1492,0),0)),0,OFFSET('HARGA SATUAN'!$I$6,MATCH(RAB!C53,'HARGA SATUAN'!$C$7:$C$1492,0),0))</f>
        <v>1719200</v>
      </c>
      <c r="H53" s="356">
        <f t="shared" ca="1" si="44"/>
        <v>0</v>
      </c>
      <c r="I53" s="356">
        <f t="shared" ca="1" si="45"/>
        <v>1719200</v>
      </c>
      <c r="J53" s="356">
        <f t="shared" ca="1" si="46"/>
        <v>0</v>
      </c>
      <c r="K53" s="357">
        <f t="shared" ca="1" si="47"/>
        <v>1719200</v>
      </c>
      <c r="L53" s="339"/>
      <c r="M53" s="339"/>
      <c r="N53" s="362"/>
      <c r="O53" s="341"/>
      <c r="P53" s="386"/>
      <c r="Q53" s="341"/>
    </row>
    <row r="54" spans="1:22" s="360" customFormat="1">
      <c r="A54" s="333"/>
      <c r="B54" s="502">
        <v>2</v>
      </c>
      <c r="C54" s="503" t="s">
        <v>509</v>
      </c>
      <c r="D54" s="353" t="str">
        <f ca="1">IF(ISERROR(OFFSET('HARGA SATUAN'!$D$6,MATCH(RAB!C54,'HARGA SATUAN'!$C$7:$C$1492,0),0)),"",OFFSET('HARGA SATUAN'!$D$6,MATCH(RAB!C54,'HARGA SATUAN'!$C$7:$C$1492,0),0))</f>
        <v>MDU-KD</v>
      </c>
      <c r="E54" s="354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f>F52*1</f>
        <v>1</v>
      </c>
      <c r="G54" s="355">
        <f ca="1">IF(ISERROR(OFFSET('HARGA SATUAN'!$I$6,MATCH(RAB!C54,'HARGA SATUAN'!$C$7:$C$1492,0),0)),0,OFFSET('HARGA SATUAN'!$I$6,MATCH(RAB!C54,'HARGA SATUAN'!$C$7:$C$1492,0),0))</f>
        <v>3564900</v>
      </c>
      <c r="H54" s="356">
        <f t="shared" ca="1" si="44"/>
        <v>3564900</v>
      </c>
      <c r="I54" s="356">
        <f t="shared" ca="1" si="45"/>
        <v>0</v>
      </c>
      <c r="J54" s="356">
        <f t="shared" ca="1" si="46"/>
        <v>0</v>
      </c>
      <c r="K54" s="357">
        <f t="shared" ca="1" si="47"/>
        <v>3564900</v>
      </c>
      <c r="L54" s="339"/>
      <c r="M54" s="339"/>
      <c r="N54" s="362"/>
      <c r="O54" s="341"/>
      <c r="P54" s="386"/>
      <c r="Q54" s="341"/>
    </row>
    <row r="55" spans="1:22" s="360" customFormat="1">
      <c r="A55" s="333"/>
      <c r="B55" s="502">
        <v>3</v>
      </c>
      <c r="C55" s="503" t="s">
        <v>77</v>
      </c>
      <c r="D55" s="353" t="str">
        <f ca="1">IF(ISERROR(OFFSET('HARGA SATUAN'!$D$6,MATCH(RAB!C55,'HARGA SATUAN'!$C$7:$C$1492,0),0)),"",OFFSET('HARGA SATUAN'!$D$6,MATCH(RAB!C55,'HARGA SATUAN'!$C$7:$C$1492,0),0))</f>
        <v>MDU-KD</v>
      </c>
      <c r="E55" s="354" t="str">
        <f ca="1">IF(B55="+","Unit",IF(ISERROR(OFFSET('HARGA SATUAN'!$E$6,MATCH(RAB!C55,'HARGA SATUAN'!$C$7:$C$1492,0),0)),"",OFFSET('HARGA SATUAN'!$E$6,MATCH(RAB!C55,'HARGA SATUAN'!$C$7:$C$1492,0),0)))</f>
        <v>Mtr</v>
      </c>
      <c r="F55" s="501">
        <v>35</v>
      </c>
      <c r="G55" s="355">
        <f ca="1">IF(ISERROR(OFFSET('HARGA SATUAN'!$I$6,MATCH(RAB!C55,'HARGA SATUAN'!$C$7:$C$1492,0),0)),0,OFFSET('HARGA SATUAN'!$I$6,MATCH(RAB!C55,'HARGA SATUAN'!$C$7:$C$1492,0),0))</f>
        <v>13500</v>
      </c>
      <c r="H55" s="356">
        <f t="shared" ca="1" si="44"/>
        <v>472500</v>
      </c>
      <c r="I55" s="356">
        <f t="shared" ca="1" si="45"/>
        <v>0</v>
      </c>
      <c r="J55" s="356">
        <f t="shared" ca="1" si="46"/>
        <v>0</v>
      </c>
      <c r="K55" s="357">
        <f t="shared" ca="1" si="47"/>
        <v>472500</v>
      </c>
      <c r="L55" s="339"/>
      <c r="M55" s="339"/>
      <c r="N55" s="362"/>
      <c r="O55" s="341"/>
      <c r="P55" s="386"/>
      <c r="Q55" s="341"/>
    </row>
    <row r="56" spans="1:22" s="360" customFormat="1">
      <c r="A56" s="333"/>
      <c r="B56" s="502">
        <v>4</v>
      </c>
      <c r="C56" s="503" t="s">
        <v>799</v>
      </c>
      <c r="D56" s="353" t="str">
        <f ca="1">IF(ISERROR(OFFSET('HARGA SATUAN'!$D$6,MATCH(RAB!C56,'HARGA SATUAN'!$C$7:$C$1492,0),0)),"",OFFSET('HARGA SATUAN'!$D$6,MATCH(RAB!C56,'HARGA SATUAN'!$C$7:$C$1492,0),0))</f>
        <v>JASA</v>
      </c>
      <c r="E56" s="354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f>F52*1</f>
        <v>1</v>
      </c>
      <c r="G56" s="355">
        <f ca="1">IF(ISERROR(OFFSET('HARGA SATUAN'!$I$6,MATCH(RAB!C56,'HARGA SATUAN'!$C$7:$C$1492,0),0)),0,OFFSET('HARGA SATUAN'!$I$6,MATCH(RAB!C56,'HARGA SATUAN'!$C$7:$C$1492,0),0))</f>
        <v>106400</v>
      </c>
      <c r="H56" s="356">
        <f t="shared" ca="1" si="44"/>
        <v>0</v>
      </c>
      <c r="I56" s="356">
        <f t="shared" ca="1" si="45"/>
        <v>0</v>
      </c>
      <c r="J56" s="356">
        <f t="shared" ca="1" si="46"/>
        <v>106400</v>
      </c>
      <c r="K56" s="357">
        <f t="shared" ca="1" si="47"/>
        <v>106400</v>
      </c>
      <c r="L56" s="339"/>
      <c r="M56" s="339"/>
      <c r="N56" s="362"/>
      <c r="O56" s="341"/>
      <c r="P56" s="386"/>
      <c r="Q56" s="341"/>
    </row>
    <row r="57" spans="1:22">
      <c r="B57" s="364"/>
      <c r="C57" s="488"/>
      <c r="D57" s="353" t="str">
        <f ca="1">IF(ISERROR(OFFSET('HARGA SATUAN'!$D$6,MATCH(RAB!C57,'HARGA SATUAN'!$C$7:$C$1492,0),0)),"",OFFSET('HARGA SATUAN'!$D$6,MATCH(RAB!C57,'HARGA SATUAN'!$C$7:$C$1492,0),0))</f>
        <v/>
      </c>
      <c r="E57" s="354" t="str">
        <f ca="1">IF(B57="+","Unit",IF(ISERROR(OFFSET('HARGA SATUAN'!$E$6,MATCH(RAB!C57,'HARGA SATUAN'!$C$7:$C$1492,0),0)),"",OFFSET('HARGA SATUAN'!$E$6,MATCH(RAB!C57,'HARGA SATUAN'!$C$7:$C$1492,0),0)))</f>
        <v/>
      </c>
      <c r="F57" s="361"/>
      <c r="G57" s="355">
        <f ca="1">IF(ISERROR(OFFSET('HARGA SATUAN'!$I$6,MATCH(RAB!C57,'HARGA SATUAN'!$C$7:$C$1492,0),0)),0,OFFSET('HARGA SATUAN'!$I$6,MATCH(RAB!C57,'HARGA SATUAN'!$C$7:$C$1492,0),0))</f>
        <v>0</v>
      </c>
      <c r="H57" s="356">
        <f t="shared" ca="1" si="44"/>
        <v>0</v>
      </c>
      <c r="I57" s="356">
        <f t="shared" ca="1" si="45"/>
        <v>0</v>
      </c>
      <c r="J57" s="356">
        <f t="shared" ca="1" si="46"/>
        <v>0</v>
      </c>
      <c r="K57" s="357">
        <f t="shared" ca="1" si="47"/>
        <v>0</v>
      </c>
    </row>
    <row r="58" spans="1:22">
      <c r="B58" s="489" t="s">
        <v>1035</v>
      </c>
      <c r="C58" s="490" t="s">
        <v>1611</v>
      </c>
      <c r="D58" s="353" t="str">
        <f ca="1">IF(ISERROR(OFFSET('HARGA SATUAN'!$D$6,MATCH(RAB!C58,'HARGA SATUAN'!$C$7:$C$1492,0),0)),"",OFFSET('HARGA SATUAN'!$D$6,MATCH(RAB!C58,'HARGA SATUAN'!$C$7:$C$1492,0),0))</f>
        <v/>
      </c>
      <c r="E58" s="354" t="str">
        <f ca="1">IF(B58="+","Unit",IF(ISERROR(OFFSET('HARGA SATUAN'!$E$6,MATCH(RAB!C58,'HARGA SATUAN'!$C$7:$C$1492,0),0)),"",OFFSET('HARGA SATUAN'!$E$6,MATCH(RAB!C58,'HARGA SATUAN'!$C$7:$C$1492,0),0)))</f>
        <v>Unit</v>
      </c>
      <c r="F58" s="491">
        <v>1</v>
      </c>
      <c r="G58" s="355">
        <f ca="1">IF(ISERROR(OFFSET('HARGA SATUAN'!$I$6,MATCH(RAB!C58,'HARGA SATUAN'!$C$7:$C$1492,0),0)),0,OFFSET('HARGA SATUAN'!$I$6,MATCH(RAB!C58,'HARGA SATUAN'!$C$7:$C$1492,0),0))</f>
        <v>0</v>
      </c>
      <c r="H58" s="356">
        <f t="shared" ref="H58:H63" ca="1" si="48">IF(OR(D58="MDU",D58="MDU-KD"),(IF($O$3="RAB NON MDU","PLN KD",G58*F58)),0)</f>
        <v>0</v>
      </c>
      <c r="I58" s="356">
        <f t="shared" ref="I58:I63" ca="1" si="49">IF(D58="HDW",G58*F58,0)</f>
        <v>0</v>
      </c>
      <c r="J58" s="356">
        <f t="shared" ref="J58:J63" ca="1" si="50">IF(D58="JASA",G58*F58,0)</f>
        <v>0</v>
      </c>
      <c r="K58" s="357">
        <f t="shared" ref="K58:K63" ca="1" si="51">SUM(H58:J58)</f>
        <v>0</v>
      </c>
    </row>
    <row r="59" spans="1:22">
      <c r="B59" s="489">
        <v>1</v>
      </c>
      <c r="C59" s="490" t="s">
        <v>29</v>
      </c>
      <c r="D59" s="353" t="str">
        <f ca="1">IF(ISERROR(OFFSET('HARGA SATUAN'!$D$6,MATCH(RAB!C59,'HARGA SATUAN'!$C$7:$C$1492,0),0)),"",OFFSET('HARGA SATUAN'!$D$6,MATCH(RAB!C59,'HARGA SATUAN'!$C$7:$C$1492,0),0))</f>
        <v>HDW</v>
      </c>
      <c r="E59" s="354" t="str">
        <f ca="1">IF(B59="+","Unit",IF(ISERROR(OFFSET('HARGA SATUAN'!$E$6,MATCH(RAB!C59,'HARGA SATUAN'!$C$7:$C$1492,0),0)),"",OFFSET('HARGA SATUAN'!$E$6,MATCH(RAB!C59,'HARGA SATUAN'!$C$7:$C$1492,0),0)))</f>
        <v>Bh</v>
      </c>
      <c r="F59" s="491">
        <f>F58*1</f>
        <v>1</v>
      </c>
      <c r="G59" s="355">
        <f ca="1">IF(ISERROR(OFFSET('HARGA SATUAN'!$I$6,MATCH(RAB!C59,'HARGA SATUAN'!$C$7:$C$1492,0),0)),0,OFFSET('HARGA SATUAN'!$I$6,MATCH(RAB!C59,'HARGA SATUAN'!$C$7:$C$1492,0),0))</f>
        <v>185200</v>
      </c>
      <c r="H59" s="356">
        <f t="shared" ca="1" si="48"/>
        <v>0</v>
      </c>
      <c r="I59" s="356">
        <f t="shared" ca="1" si="49"/>
        <v>185200</v>
      </c>
      <c r="J59" s="356">
        <f t="shared" ca="1" si="50"/>
        <v>0</v>
      </c>
      <c r="K59" s="357">
        <f t="shared" ca="1" si="51"/>
        <v>185200</v>
      </c>
    </row>
    <row r="60" spans="1:22">
      <c r="B60" s="489">
        <v>2</v>
      </c>
      <c r="C60" s="490" t="s">
        <v>30</v>
      </c>
      <c r="D60" s="353" t="str">
        <f ca="1">IF(ISERROR(OFFSET('HARGA SATUAN'!$D$6,MATCH(RAB!C60,'HARGA SATUAN'!$C$7:$C$1492,0),0)),"",OFFSET('HARGA SATUAN'!$D$6,MATCH(RAB!C60,'HARGA SATUAN'!$C$7:$C$1492,0),0))</f>
        <v>HDW</v>
      </c>
      <c r="E60" s="354" t="str">
        <f ca="1">IF(B60="+","Unit",IF(ISERROR(OFFSET('HARGA SATUAN'!$E$6,MATCH(RAB!C60,'HARGA SATUAN'!$C$7:$C$1492,0),0)),"",OFFSET('HARGA SATUAN'!$E$6,MATCH(RAB!C60,'HARGA SATUAN'!$C$7:$C$1492,0),0)))</f>
        <v>Bh</v>
      </c>
      <c r="F60" s="491">
        <f>F58*1</f>
        <v>1</v>
      </c>
      <c r="G60" s="355">
        <f ca="1">IF(ISERROR(OFFSET('HARGA SATUAN'!$I$6,MATCH(RAB!C60,'HARGA SATUAN'!$C$7:$C$1492,0),0)),0,OFFSET('HARGA SATUAN'!$I$6,MATCH(RAB!C60,'HARGA SATUAN'!$C$7:$C$1492,0),0))</f>
        <v>47459</v>
      </c>
      <c r="H60" s="356">
        <f t="shared" ca="1" si="48"/>
        <v>0</v>
      </c>
      <c r="I60" s="356">
        <f t="shared" ca="1" si="49"/>
        <v>47459</v>
      </c>
      <c r="J60" s="356">
        <f t="shared" ca="1" si="50"/>
        <v>0</v>
      </c>
      <c r="K60" s="357">
        <f t="shared" ca="1" si="51"/>
        <v>47459</v>
      </c>
    </row>
    <row r="61" spans="1:22">
      <c r="B61" s="489">
        <v>3</v>
      </c>
      <c r="C61" s="490" t="s">
        <v>32</v>
      </c>
      <c r="D61" s="353" t="str">
        <f ca="1">IF(ISERROR(OFFSET('HARGA SATUAN'!$D$6,MATCH(RAB!C61,'HARGA SATUAN'!$C$7:$C$1492,0),0)),"",OFFSET('HARGA SATUAN'!$D$6,MATCH(RAB!C61,'HARGA SATUAN'!$C$7:$C$1492,0),0))</f>
        <v>HDW</v>
      </c>
      <c r="E61" s="354" t="str">
        <f ca="1">IF(B61="+","Unit",IF(ISERROR(OFFSET('HARGA SATUAN'!$E$6,MATCH(RAB!C61,'HARGA SATUAN'!$C$7:$C$1492,0),0)),"",OFFSET('HARGA SATUAN'!$E$6,MATCH(RAB!C61,'HARGA SATUAN'!$C$7:$C$1492,0),0)))</f>
        <v>Mtr</v>
      </c>
      <c r="F61" s="491">
        <f>F58*1.5</f>
        <v>1.5</v>
      </c>
      <c r="G61" s="355">
        <f ca="1">IF(ISERROR(OFFSET('HARGA SATUAN'!$I$6,MATCH(RAB!C61,'HARGA SATUAN'!$C$7:$C$1492,0),0)),0,OFFSET('HARGA SATUAN'!$I$6,MATCH(RAB!C61,'HARGA SATUAN'!$C$7:$C$1492,0),0))</f>
        <v>30000</v>
      </c>
      <c r="H61" s="356">
        <f t="shared" ca="1" si="48"/>
        <v>0</v>
      </c>
      <c r="I61" s="356">
        <f t="shared" ca="1" si="49"/>
        <v>45000</v>
      </c>
      <c r="J61" s="356">
        <f t="shared" ca="1" si="50"/>
        <v>0</v>
      </c>
      <c r="K61" s="357">
        <f t="shared" ca="1" si="51"/>
        <v>45000</v>
      </c>
    </row>
    <row r="62" spans="1:22">
      <c r="B62" s="489">
        <v>4</v>
      </c>
      <c r="C62" s="490" t="s">
        <v>33</v>
      </c>
      <c r="D62" s="353" t="str">
        <f ca="1">IF(ISERROR(OFFSET('HARGA SATUAN'!$D$6,MATCH(RAB!C62,'HARGA SATUAN'!$C$7:$C$1492,0),0)),"",OFFSET('HARGA SATUAN'!$D$6,MATCH(RAB!C62,'HARGA SATUAN'!$C$7:$C$1492,0),0))</f>
        <v>HDW</v>
      </c>
      <c r="E62" s="354" t="str">
        <f ca="1">IF(B62="+","Unit",IF(ISERROR(OFFSET('HARGA SATUAN'!$E$6,MATCH(RAB!C62,'HARGA SATUAN'!$C$7:$C$1492,0),0)),"",OFFSET('HARGA SATUAN'!$E$6,MATCH(RAB!C62,'HARGA SATUAN'!$C$7:$C$1492,0),0)))</f>
        <v>Bh</v>
      </c>
      <c r="F62" s="491">
        <f>F58*2</f>
        <v>2</v>
      </c>
      <c r="G62" s="355">
        <f ca="1">IF(ISERROR(OFFSET('HARGA SATUAN'!$I$6,MATCH(RAB!C62,'HARGA SATUAN'!$C$7:$C$1492,0),0)),0,OFFSET('HARGA SATUAN'!$I$6,MATCH(RAB!C62,'HARGA SATUAN'!$C$7:$C$1492,0),0))</f>
        <v>9500</v>
      </c>
      <c r="H62" s="356">
        <f t="shared" ca="1" si="48"/>
        <v>0</v>
      </c>
      <c r="I62" s="356">
        <f t="shared" ca="1" si="49"/>
        <v>19000</v>
      </c>
      <c r="J62" s="356">
        <f t="shared" ca="1" si="50"/>
        <v>0</v>
      </c>
      <c r="K62" s="357">
        <f t="shared" ca="1" si="51"/>
        <v>19000</v>
      </c>
    </row>
    <row r="63" spans="1:22">
      <c r="B63" s="489">
        <v>5</v>
      </c>
      <c r="C63" s="490" t="s">
        <v>735</v>
      </c>
      <c r="D63" s="353" t="str">
        <f ca="1">IF(ISERROR(OFFSET('HARGA SATUAN'!$D$6,MATCH(RAB!C63,'HARGA SATUAN'!$C$7:$C$1492,0),0)),"",OFFSET('HARGA SATUAN'!$D$6,MATCH(RAB!C63,'HARGA SATUAN'!$C$7:$C$1492,0),0))</f>
        <v>JASA</v>
      </c>
      <c r="E63" s="354" t="str">
        <f ca="1">IF(B63="+","Unit",IF(ISERROR(OFFSET('HARGA SATUAN'!$E$6,MATCH(RAB!C63,'HARGA SATUAN'!$C$7:$C$1492,0),0)),"",OFFSET('HARGA SATUAN'!$E$6,MATCH(RAB!C63,'HARGA SATUAN'!$C$7:$C$1492,0),0)))</f>
        <v>Unit</v>
      </c>
      <c r="F63" s="491">
        <f>F58*1</f>
        <v>1</v>
      </c>
      <c r="G63" s="355">
        <f ca="1">IF(ISERROR(OFFSET('HARGA SATUAN'!$I$6,MATCH(RAB!C63,'HARGA SATUAN'!$C$7:$C$1492,0),0)),0,OFFSET('HARGA SATUAN'!$I$6,MATCH(RAB!C63,'HARGA SATUAN'!$C$7:$C$1492,0),0))</f>
        <v>56400</v>
      </c>
      <c r="H63" s="356">
        <f t="shared" ca="1" si="48"/>
        <v>0</v>
      </c>
      <c r="I63" s="356">
        <f t="shared" ca="1" si="49"/>
        <v>0</v>
      </c>
      <c r="J63" s="356">
        <f t="shared" ca="1" si="50"/>
        <v>56400</v>
      </c>
      <c r="K63" s="357">
        <f t="shared" ca="1" si="51"/>
        <v>56400</v>
      </c>
    </row>
    <row r="64" spans="1:22">
      <c r="B64" s="364"/>
      <c r="C64" s="488"/>
      <c r="D64" s="353" t="str">
        <f ca="1">IF(ISERROR(OFFSET('HARGA SATUAN'!$D$6,MATCH(RAB!C64,'HARGA SATUAN'!$C$7:$C$1492,0),0)),"",OFFSET('HARGA SATUAN'!$D$6,MATCH(RAB!C64,'HARGA SATUAN'!$C$7:$C$1492,0),0))</f>
        <v/>
      </c>
      <c r="E64" s="354" t="str">
        <f ca="1">IF(B64="+","Unit",IF(ISERROR(OFFSET('HARGA SATUAN'!$E$6,MATCH(RAB!C64,'HARGA SATUAN'!$C$7:$C$1492,0),0)),"",OFFSET('HARGA SATUAN'!$E$6,MATCH(RAB!C64,'HARGA SATUAN'!$C$7:$C$1492,0),0)))</f>
        <v/>
      </c>
      <c r="F64" s="361"/>
      <c r="G64" s="355">
        <f ca="1">IF(ISERROR(OFFSET('HARGA SATUAN'!$I$6,MATCH(RAB!C64,'HARGA SATUAN'!$C$7:$C$1492,0),0)),0,OFFSET('HARGA SATUAN'!$I$6,MATCH(RAB!C64,'HARGA SATUAN'!$C$7:$C$1492,0),0))</f>
        <v>0</v>
      </c>
      <c r="H64" s="356">
        <f t="shared" ref="H64" ca="1" si="52">IF(OR(D64="MDU",D64="MDU-KD"),(IF($O$3="RAB NON MDU","PLN KD",G64*F64)),0)</f>
        <v>0</v>
      </c>
      <c r="I64" s="356">
        <f t="shared" ref="I64" ca="1" si="53">IF(D64="HDW",G64*F64,0)</f>
        <v>0</v>
      </c>
      <c r="J64" s="356">
        <f t="shared" ref="J64" ca="1" si="54">IF(D64="JASA",G64*F64,0)</f>
        <v>0</v>
      </c>
      <c r="K64" s="357">
        <f t="shared" ref="K64" ca="1" si="55">SUM(H64:J64)</f>
        <v>0</v>
      </c>
    </row>
    <row r="65" spans="2:11">
      <c r="B65" s="493" t="s">
        <v>1035</v>
      </c>
      <c r="C65" s="497" t="s">
        <v>1615</v>
      </c>
      <c r="D65" s="353" t="str">
        <f ca="1">IF(ISERROR(OFFSET('HARGA SATUAN'!$D$6,MATCH(RAB!C65,'HARGA SATUAN'!$C$7:$C$1492,0),0)),"",OFFSET('HARGA SATUAN'!$D$6,MATCH(RAB!C65,'HARGA SATUAN'!$C$7:$C$1492,0),0))</f>
        <v/>
      </c>
      <c r="E65" s="354" t="str">
        <f ca="1">IF(B65="+","Unit",IF(ISERROR(OFFSET('HARGA SATUAN'!$E$6,MATCH(RAB!C65,'HARGA SATUAN'!$C$7:$C$1492,0),0)),"",OFFSET('HARGA SATUAN'!$E$6,MATCH(RAB!C65,'HARGA SATUAN'!$C$7:$C$1492,0),0)))</f>
        <v>Unit</v>
      </c>
      <c r="F65" s="498">
        <v>2</v>
      </c>
      <c r="G65" s="355">
        <f ca="1">IF(ISERROR(OFFSET('HARGA SATUAN'!$I$6,MATCH(RAB!C65,'HARGA SATUAN'!$C$7:$C$1492,0),0)),0,OFFSET('HARGA SATUAN'!$I$6,MATCH(RAB!C65,'HARGA SATUAN'!$C$7:$C$1492,0),0))</f>
        <v>0</v>
      </c>
      <c r="H65" s="356">
        <f t="shared" ref="H65:H74" ca="1" si="56">IF(OR(D65="MDU",D65="MDU-KD"),(IF($O$3="RAB NON MDU","PLN KD",G65*F65)),0)</f>
        <v>0</v>
      </c>
      <c r="I65" s="356">
        <f t="shared" ref="I65:I74" ca="1" si="57">IF(D65="HDW",G65*F65,0)</f>
        <v>0</v>
      </c>
      <c r="J65" s="356">
        <f t="shared" ref="J65:J74" ca="1" si="58">IF(D65="JASA",G65*F65,0)</f>
        <v>0</v>
      </c>
      <c r="K65" s="357">
        <f t="shared" ref="K65:K74" ca="1" si="59">SUM(H65:J65)</f>
        <v>0</v>
      </c>
    </row>
    <row r="66" spans="2:11">
      <c r="B66" s="493">
        <v>1</v>
      </c>
      <c r="C66" s="497" t="s">
        <v>115</v>
      </c>
      <c r="D66" s="353" t="str">
        <f ca="1">IF(ISERROR(OFFSET('HARGA SATUAN'!$D$6,MATCH(RAB!C66,'HARGA SATUAN'!$C$7:$C$1492,0),0)),"",OFFSET('HARGA SATUAN'!$D$6,MATCH(RAB!C66,'HARGA SATUAN'!$C$7:$C$1492,0),0))</f>
        <v>HDW</v>
      </c>
      <c r="E66" s="354" t="str">
        <f ca="1">IF(B66="+","Unit",IF(ISERROR(OFFSET('HARGA SATUAN'!$E$6,MATCH(RAB!C66,'HARGA SATUAN'!$C$7:$C$1492,0),0)),"",OFFSET('HARGA SATUAN'!$E$6,MATCH(RAB!C66,'HARGA SATUAN'!$C$7:$C$1492,0),0)))</f>
        <v>Set</v>
      </c>
      <c r="F66" s="498">
        <v>2</v>
      </c>
      <c r="G66" s="355">
        <f ca="1">IF(ISERROR(OFFSET('HARGA SATUAN'!$I$6,MATCH(RAB!C66,'HARGA SATUAN'!$C$7:$C$1492,0),0)),0,OFFSET('HARGA SATUAN'!$I$6,MATCH(RAB!C66,'HARGA SATUAN'!$C$7:$C$1492,0),0))</f>
        <v>11500</v>
      </c>
      <c r="H66" s="356">
        <f t="shared" ca="1" si="56"/>
        <v>0</v>
      </c>
      <c r="I66" s="356">
        <f t="shared" ca="1" si="57"/>
        <v>23000</v>
      </c>
      <c r="J66" s="356">
        <f t="shared" ca="1" si="58"/>
        <v>0</v>
      </c>
      <c r="K66" s="357">
        <f t="shared" ca="1" si="59"/>
        <v>23000</v>
      </c>
    </row>
    <row r="67" spans="2:11">
      <c r="B67" s="493">
        <v>2</v>
      </c>
      <c r="C67" s="497" t="s">
        <v>145</v>
      </c>
      <c r="D67" s="353" t="str">
        <f ca="1">IF(ISERROR(OFFSET('HARGA SATUAN'!$D$6,MATCH(RAB!C67,'HARGA SATUAN'!$C$7:$C$1492,0),0)),"",OFFSET('HARGA SATUAN'!$D$6,MATCH(RAB!C67,'HARGA SATUAN'!$C$7:$C$1492,0),0))</f>
        <v>HDW</v>
      </c>
      <c r="E67" s="354" t="str">
        <f ca="1">IF(B67="+","Unit",IF(ISERROR(OFFSET('HARGA SATUAN'!$E$6,MATCH(RAB!C67,'HARGA SATUAN'!$C$7:$C$1492,0),0)),"",OFFSET('HARGA SATUAN'!$E$6,MATCH(RAB!C67,'HARGA SATUAN'!$C$7:$C$1492,0),0)))</f>
        <v>Set</v>
      </c>
      <c r="F67" s="498">
        <v>2</v>
      </c>
      <c r="G67" s="355">
        <f ca="1">IF(ISERROR(OFFSET('HARGA SATUAN'!$I$6,MATCH(RAB!C67,'HARGA SATUAN'!$C$7:$C$1492,0),0)),0,OFFSET('HARGA SATUAN'!$I$6,MATCH(RAB!C67,'HARGA SATUAN'!$C$7:$C$1492,0),0))</f>
        <v>6200</v>
      </c>
      <c r="H67" s="356">
        <f t="shared" ca="1" si="56"/>
        <v>0</v>
      </c>
      <c r="I67" s="356">
        <f t="shared" ca="1" si="57"/>
        <v>12400</v>
      </c>
      <c r="J67" s="356">
        <f t="shared" ca="1" si="58"/>
        <v>0</v>
      </c>
      <c r="K67" s="357">
        <f t="shared" ca="1" si="59"/>
        <v>12400</v>
      </c>
    </row>
    <row r="68" spans="2:11">
      <c r="B68" s="493">
        <v>3</v>
      </c>
      <c r="C68" s="497" t="s">
        <v>587</v>
      </c>
      <c r="D68" s="353" t="str">
        <f ca="1">IF(ISERROR(OFFSET('HARGA SATUAN'!$D$6,MATCH(RAB!C68,'HARGA SATUAN'!$C$7:$C$1492,0),0)),"",OFFSET('HARGA SATUAN'!$D$6,MATCH(RAB!C68,'HARGA SATUAN'!$C$7:$C$1492,0),0))</f>
        <v>HDW</v>
      </c>
      <c r="E68" s="354" t="str">
        <f ca="1">IF(B68="+","Unit",IF(ISERROR(OFFSET('HARGA SATUAN'!$E$6,MATCH(RAB!C68,'HARGA SATUAN'!$C$7:$C$1492,0),0)),"",OFFSET('HARGA SATUAN'!$E$6,MATCH(RAB!C68,'HARGA SATUAN'!$C$7:$C$1492,0),0)))</f>
        <v>Btg</v>
      </c>
      <c r="F68" s="498">
        <v>2</v>
      </c>
      <c r="G68" s="355">
        <f ca="1">IF(ISERROR(OFFSET('HARGA SATUAN'!$I$6,MATCH(RAB!C68,'HARGA SATUAN'!$C$7:$C$1492,0),0)),0,OFFSET('HARGA SATUAN'!$I$6,MATCH(RAB!C68,'HARGA SATUAN'!$C$7:$C$1492,0),0))</f>
        <v>45796</v>
      </c>
      <c r="H68" s="356">
        <f t="shared" ca="1" si="56"/>
        <v>0</v>
      </c>
      <c r="I68" s="356">
        <f t="shared" ca="1" si="57"/>
        <v>91592</v>
      </c>
      <c r="J68" s="356">
        <f t="shared" ca="1" si="58"/>
        <v>0</v>
      </c>
      <c r="K68" s="357">
        <f t="shared" ca="1" si="59"/>
        <v>91592</v>
      </c>
    </row>
    <row r="69" spans="2:11">
      <c r="B69" s="493">
        <v>4</v>
      </c>
      <c r="C69" s="497" t="s">
        <v>118</v>
      </c>
      <c r="D69" s="353" t="str">
        <f ca="1">IF(ISERROR(OFFSET('HARGA SATUAN'!$D$6,MATCH(RAB!C69,'HARGA SATUAN'!$C$7:$C$1492,0),0)),"",OFFSET('HARGA SATUAN'!$D$6,MATCH(RAB!C69,'HARGA SATUAN'!$C$7:$C$1492,0),0))</f>
        <v>HDW</v>
      </c>
      <c r="E69" s="354" t="str">
        <f ca="1">IF(B69="+","Unit",IF(ISERROR(OFFSET('HARGA SATUAN'!$E$6,MATCH(RAB!C69,'HARGA SATUAN'!$C$7:$C$1492,0),0)),"",OFFSET('HARGA SATUAN'!$E$6,MATCH(RAB!C69,'HARGA SATUAN'!$C$7:$C$1492,0),0)))</f>
        <v>Set</v>
      </c>
      <c r="F69" s="498">
        <v>2</v>
      </c>
      <c r="G69" s="355">
        <f ca="1">IF(ISERROR(OFFSET('HARGA SATUAN'!$I$6,MATCH(RAB!C69,'HARGA SATUAN'!$C$7:$C$1492,0),0)),0,OFFSET('HARGA SATUAN'!$I$6,MATCH(RAB!C69,'HARGA SATUAN'!$C$7:$C$1492,0),0))</f>
        <v>5300</v>
      </c>
      <c r="H69" s="356">
        <f t="shared" ca="1" si="56"/>
        <v>0</v>
      </c>
      <c r="I69" s="356">
        <f t="shared" ca="1" si="57"/>
        <v>10600</v>
      </c>
      <c r="J69" s="356">
        <f t="shared" ca="1" si="58"/>
        <v>0</v>
      </c>
      <c r="K69" s="357">
        <f t="shared" ca="1" si="59"/>
        <v>10600</v>
      </c>
    </row>
    <row r="70" spans="2:11">
      <c r="B70" s="493">
        <v>5</v>
      </c>
      <c r="C70" s="497" t="s">
        <v>117</v>
      </c>
      <c r="D70" s="353" t="str">
        <f ca="1">IF(ISERROR(OFFSET('HARGA SATUAN'!$D$6,MATCH(RAB!C70,'HARGA SATUAN'!$C$7:$C$1492,0),0)),"",OFFSET('HARGA SATUAN'!$D$6,MATCH(RAB!C70,'HARGA SATUAN'!$C$7:$C$1492,0),0))</f>
        <v>HDW</v>
      </c>
      <c r="E70" s="354" t="str">
        <f ca="1">IF(B70="+","Unit",IF(ISERROR(OFFSET('HARGA SATUAN'!$E$6,MATCH(RAB!C70,'HARGA SATUAN'!$C$7:$C$1492,0),0)),"",OFFSET('HARGA SATUAN'!$E$6,MATCH(RAB!C70,'HARGA SATUAN'!$C$7:$C$1492,0),0)))</f>
        <v>Bh</v>
      </c>
      <c r="F70" s="498">
        <v>2</v>
      </c>
      <c r="G70" s="355">
        <f ca="1">IF(ISERROR(OFFSET('HARGA SATUAN'!$I$6,MATCH(RAB!C70,'HARGA SATUAN'!$C$7:$C$1492,0),0)),0,OFFSET('HARGA SATUAN'!$I$6,MATCH(RAB!C70,'HARGA SATUAN'!$C$7:$C$1492,0),0))</f>
        <v>58600</v>
      </c>
      <c r="H70" s="356">
        <f t="shared" ca="1" si="56"/>
        <v>0</v>
      </c>
      <c r="I70" s="356">
        <f t="shared" ca="1" si="57"/>
        <v>117200</v>
      </c>
      <c r="J70" s="356">
        <f t="shared" ca="1" si="58"/>
        <v>0</v>
      </c>
      <c r="K70" s="357">
        <f t="shared" ca="1" si="59"/>
        <v>117200</v>
      </c>
    </row>
    <row r="71" spans="2:11">
      <c r="B71" s="493">
        <v>6</v>
      </c>
      <c r="C71" s="109" t="s">
        <v>1155</v>
      </c>
      <c r="D71" s="353" t="str">
        <f ca="1">IF(ISERROR(OFFSET('HARGA SATUAN'!$D$6,MATCH(RAB!C71,'HARGA SATUAN'!$C$7:$C$1492,0),0)),"",OFFSET('HARGA SATUAN'!$D$6,MATCH(RAB!C71,'HARGA SATUAN'!$C$7:$C$1492,0),0))</f>
        <v>HDW</v>
      </c>
      <c r="E71" s="354" t="str">
        <f ca="1">IF(B71="+","Unit",IF(ISERROR(OFFSET('HARGA SATUAN'!$E$6,MATCH(RAB!C71,'HARGA SATUAN'!$C$7:$C$1492,0),0)),"",OFFSET('HARGA SATUAN'!$E$6,MATCH(RAB!C71,'HARGA SATUAN'!$C$7:$C$1492,0),0)))</f>
        <v>Set</v>
      </c>
      <c r="F71" s="498">
        <v>4</v>
      </c>
      <c r="G71" s="355">
        <f ca="1">IF(ISERROR(OFFSET('HARGA SATUAN'!$I$6,MATCH(RAB!C71,'HARGA SATUAN'!$C$7:$C$1492,0),0)),0,OFFSET('HARGA SATUAN'!$I$6,MATCH(RAB!C71,'HARGA SATUAN'!$C$7:$C$1492,0),0))</f>
        <v>2900</v>
      </c>
      <c r="H71" s="356">
        <f t="shared" ca="1" si="56"/>
        <v>0</v>
      </c>
      <c r="I71" s="356">
        <f t="shared" ca="1" si="57"/>
        <v>11600</v>
      </c>
      <c r="J71" s="356">
        <f t="shared" ca="1" si="58"/>
        <v>0</v>
      </c>
      <c r="K71" s="357">
        <f t="shared" ca="1" si="59"/>
        <v>11600</v>
      </c>
    </row>
    <row r="72" spans="2:11">
      <c r="B72" s="493">
        <v>7</v>
      </c>
      <c r="C72" s="497" t="s">
        <v>119</v>
      </c>
      <c r="D72" s="353" t="str">
        <f ca="1">IF(ISERROR(OFFSET('HARGA SATUAN'!$D$6,MATCH(RAB!C72,'HARGA SATUAN'!$C$7:$C$1492,0),0)),"",OFFSET('HARGA SATUAN'!$D$6,MATCH(RAB!C72,'HARGA SATUAN'!$C$7:$C$1492,0),0))</f>
        <v>HDW</v>
      </c>
      <c r="E72" s="354" t="str">
        <f ca="1">IF(B72="+","Unit",IF(ISERROR(OFFSET('HARGA SATUAN'!$E$6,MATCH(RAB!C72,'HARGA SATUAN'!$C$7:$C$1492,0),0)),"",OFFSET('HARGA SATUAN'!$E$6,MATCH(RAB!C72,'HARGA SATUAN'!$C$7:$C$1492,0),0)))</f>
        <v>Set</v>
      </c>
      <c r="F72" s="498">
        <v>8</v>
      </c>
      <c r="G72" s="355">
        <f ca="1">IF(ISERROR(OFFSET('HARGA SATUAN'!$I$6,MATCH(RAB!C72,'HARGA SATUAN'!$C$7:$C$1492,0),0)),0,OFFSET('HARGA SATUAN'!$I$6,MATCH(RAB!C72,'HARGA SATUAN'!$C$7:$C$1492,0),0))</f>
        <v>8900</v>
      </c>
      <c r="H72" s="356">
        <f t="shared" ca="1" si="56"/>
        <v>0</v>
      </c>
      <c r="I72" s="356">
        <f t="shared" ca="1" si="57"/>
        <v>71200</v>
      </c>
      <c r="J72" s="356">
        <f t="shared" ca="1" si="58"/>
        <v>0</v>
      </c>
      <c r="K72" s="357">
        <f t="shared" ca="1" si="59"/>
        <v>71200</v>
      </c>
    </row>
    <row r="73" spans="2:11">
      <c r="B73" s="493"/>
      <c r="C73" s="497"/>
      <c r="D73" s="353"/>
      <c r="E73" s="354"/>
      <c r="F73" s="498"/>
      <c r="G73" s="355"/>
      <c r="H73" s="356"/>
      <c r="I73" s="356"/>
      <c r="J73" s="356"/>
      <c r="K73" s="357"/>
    </row>
    <row r="74" spans="2:11">
      <c r="B74" s="481" t="s">
        <v>526</v>
      </c>
      <c r="C74" s="482" t="s">
        <v>1609</v>
      </c>
      <c r="D74" s="353" t="str">
        <f ca="1">IF(ISERROR(OFFSET('HARGA SATUAN'!$D$6,MATCH(RAB!C74,'HARGA SATUAN'!$C$7:$C$1492,0),0)),"",OFFSET('HARGA SATUAN'!$D$6,MATCH(RAB!C74,'HARGA SATUAN'!$C$7:$C$1492,0),0))</f>
        <v/>
      </c>
      <c r="E74" s="354" t="str">
        <f ca="1">IF(B74="+","Unit",IF(ISERROR(OFFSET('HARGA SATUAN'!$E$6,MATCH(RAB!C74,'HARGA SATUAN'!$C$7:$C$1492,0),0)),"",OFFSET('HARGA SATUAN'!$E$6,MATCH(RAB!C74,'HARGA SATUAN'!$C$7:$C$1492,0),0)))</f>
        <v/>
      </c>
      <c r="F74" s="361"/>
      <c r="G74" s="355">
        <f ca="1">IF(ISERROR(OFFSET('HARGA SATUAN'!$I$6,MATCH(RAB!C74,'HARGA SATUAN'!$C$7:$C$1492,0),0)),0,OFFSET('HARGA SATUAN'!$I$6,MATCH(RAB!C74,'HARGA SATUAN'!$C$7:$C$1492,0),0))</f>
        <v>0</v>
      </c>
      <c r="H74" s="356">
        <f t="shared" ca="1" si="56"/>
        <v>0</v>
      </c>
      <c r="I74" s="356">
        <f t="shared" ca="1" si="57"/>
        <v>0</v>
      </c>
      <c r="J74" s="356">
        <f t="shared" ca="1" si="58"/>
        <v>0</v>
      </c>
      <c r="K74" s="357">
        <f t="shared" ca="1" si="59"/>
        <v>0</v>
      </c>
    </row>
    <row r="75" spans="2:11">
      <c r="B75" s="364"/>
      <c r="C75" s="488"/>
      <c r="D75" s="353" t="str">
        <f ca="1">IF(ISERROR(OFFSET('HARGA SATUAN'!$D$6,MATCH(RAB!C75,'HARGA SATUAN'!$C$7:$C$1492,0),0)),"",OFFSET('HARGA SATUAN'!$D$6,MATCH(RAB!C75,'HARGA SATUAN'!$C$7:$C$1492,0),0))</f>
        <v/>
      </c>
      <c r="E75" s="354" t="str">
        <f ca="1">IF(B75="+","Unit",IF(ISERROR(OFFSET('HARGA SATUAN'!$E$6,MATCH(RAB!C75,'HARGA SATUAN'!$C$7:$C$1492,0),0)),"",OFFSET('HARGA SATUAN'!$E$6,MATCH(RAB!C75,'HARGA SATUAN'!$C$7:$C$1492,0),0)))</f>
        <v/>
      </c>
      <c r="F75" s="361"/>
      <c r="G75" s="355">
        <f ca="1">IF(ISERROR(OFFSET('HARGA SATUAN'!$I$6,MATCH(RAB!C75,'HARGA SATUAN'!$C$7:$C$1492,0),0)),0,OFFSET('HARGA SATUAN'!$I$6,MATCH(RAB!C75,'HARGA SATUAN'!$C$7:$C$1492,0),0))</f>
        <v>0</v>
      </c>
      <c r="H75" s="356">
        <f t="shared" ref="H75:H76" ca="1" si="60">IF(OR(D75="MDU",D75="MDU-KD"),(IF($O$3="RAB NON MDU","PLN KD",G75*F75)),0)</f>
        <v>0</v>
      </c>
      <c r="I75" s="356">
        <f t="shared" ref="I75:I76" ca="1" si="61">IF(D75="HDW",G75*F75,0)</f>
        <v>0</v>
      </c>
      <c r="J75" s="356">
        <f t="shared" ref="J75:J76" ca="1" si="62">IF(D75="JASA",G75*F75,0)</f>
        <v>0</v>
      </c>
      <c r="K75" s="357">
        <f t="shared" ref="K75:K76" ca="1" si="63">SUM(H75:J75)</f>
        <v>0</v>
      </c>
    </row>
    <row r="76" spans="2:11">
      <c r="B76" s="365"/>
      <c r="C76" s="366" t="s">
        <v>475</v>
      </c>
      <c r="D76" s="353" t="str">
        <f ca="1">IF(ISERROR(OFFSET('HARGA SATUAN'!$D$6,MATCH(RAB!C76,'HARGA SATUAN'!$C$7:$C$1492,0),0)),"",OFFSET('HARGA SATUAN'!$D$6,MATCH(RAB!C76,'HARGA SATUAN'!$C$7:$C$1492,0),0))</f>
        <v/>
      </c>
      <c r="E76" s="354" t="str">
        <f ca="1">IF(B76="+","Unit",IF(ISERROR(OFFSET('HARGA SATUAN'!$E$6,MATCH(RAB!C76,'HARGA SATUAN'!$C$7:$C$1492,0),0)),"",OFFSET('HARGA SATUAN'!$E$6,MATCH(RAB!C76,'HARGA SATUAN'!$C$7:$C$1492,0),0)))</f>
        <v/>
      </c>
      <c r="F76" s="361"/>
      <c r="G76" s="355">
        <f ca="1">IF(ISERROR(OFFSET('HARGA SATUAN'!$I$6,MATCH(RAB!C76,'HARGA SATUAN'!$C$7:$C$1492,0),0)),0,OFFSET('HARGA SATUAN'!$I$6,MATCH(RAB!C76,'HARGA SATUAN'!$C$7:$C$1492,0),0))</f>
        <v>0</v>
      </c>
      <c r="H76" s="356">
        <f t="shared" ca="1" si="60"/>
        <v>0</v>
      </c>
      <c r="I76" s="356">
        <f t="shared" ca="1" si="61"/>
        <v>0</v>
      </c>
      <c r="J76" s="356">
        <f t="shared" ca="1" si="62"/>
        <v>0</v>
      </c>
      <c r="K76" s="357">
        <f t="shared" ca="1" si="63"/>
        <v>0</v>
      </c>
    </row>
    <row r="77" spans="2:11">
      <c r="B77" s="368">
        <v>1</v>
      </c>
      <c r="C77" s="369" t="s">
        <v>1091</v>
      </c>
      <c r="D77" s="370" t="str">
        <f ca="1">IF(ISERROR(OFFSET('HARGA SATUAN'!$D$6,MATCH(RAB!C77,'HARGA SATUAN'!$C$7:$C$1492,0),0)),"",OFFSET('HARGA SATUAN'!$D$6,MATCH(RAB!C77,'HARGA SATUAN'!$C$7:$C$1492,0),0))</f>
        <v>JASA</v>
      </c>
      <c r="E77" s="371" t="str">
        <f ca="1">IF(ISERROR(OFFSET('HARGA SATUAN'!$E$6,MATCH(RAB!C77,'HARGA SATUAN'!$C$7:$C$1492,0),0)),"",OFFSET('HARGA SATUAN'!$E$6,MATCH(RAB!C77,'HARGA SATUAN'!$C$7:$C$1492,0),0))</f>
        <v>Lot</v>
      </c>
      <c r="F77" s="372">
        <v>1</v>
      </c>
      <c r="G77" s="373">
        <f ca="1">IF(ISERROR(OFFSET('HARGA SATUAN'!$I$6,MATCH(RAB!C77,'HARGA SATUAN'!$C$7:$C$1492,0),0)),0,OFFSET('HARGA SATUAN'!$I$6,MATCH(RAB!C77,'HARGA SATUAN'!$C$7:$C$1492,0),0))</f>
        <v>2.5000000000000001E-2</v>
      </c>
      <c r="H77" s="374">
        <f ca="1">(SUM(H14:H76))*2.5%</f>
        <v>509685</v>
      </c>
      <c r="I77" s="374">
        <f ca="1">(SUM(I14:I76))*2.5%</f>
        <v>169960.33100000001</v>
      </c>
      <c r="J77" s="374">
        <f t="shared" ref="J77:K77" ca="1" si="64">(SUM(J14:J76))*2.5%</f>
        <v>44766.666666666664</v>
      </c>
      <c r="K77" s="374">
        <f t="shared" ca="1" si="64"/>
        <v>724411.99766666675</v>
      </c>
    </row>
    <row r="78" spans="2:11">
      <c r="B78" s="375"/>
      <c r="C78" s="376"/>
      <c r="D78" s="353" t="str">
        <f ca="1">IF(ISERROR(OFFSET('HARGA SATUAN'!$D$6,MATCH(RAB!C78,'HARGA SATUAN'!$C$7:$C$1492,0),0)),"",OFFSET('HARGA SATUAN'!$D$6,MATCH(RAB!C78,'HARGA SATUAN'!$C$7:$C$1492,0),0))</f>
        <v/>
      </c>
      <c r="E78" s="354" t="str">
        <f ca="1">IF(ISERROR(OFFSET('HARGA SATUAN'!$E$6,MATCH(RAB!C78,'HARGA SATUAN'!$C$7:$C$1492,0),0)),"",OFFSET('HARGA SATUAN'!$E$6,MATCH(RAB!C78,'HARGA SATUAN'!$C$7:$C$1492,0),0))</f>
        <v/>
      </c>
      <c r="F78" s="367"/>
      <c r="G78" s="355" t="str">
        <f ca="1">IF(ISERROR(OFFSET('HARGA SATUAN'!$I$6,MATCH(RAB!C78,'HARGA SATUAN'!$C$7:$C$1492,0),0)),"",OFFSET('HARGA SATUAN'!$I$6,MATCH(RAB!C78,'HARGA SATUAN'!$C$7:$C$1492,0),0))</f>
        <v/>
      </c>
      <c r="H78" s="356">
        <f ca="1">IF(OR(D78="MDU",D78="MDU-KD"),IF(G78="PLN",0,G78*F78),0)</f>
        <v>0</v>
      </c>
      <c r="I78" s="356">
        <f ca="1">IF(D78="HDW",IF(G78="PLN",0,G78*F78),0)</f>
        <v>0</v>
      </c>
      <c r="J78" s="356">
        <f ca="1">IF(D78="JASA",IF(G78="PLN",0,G78*F78),0)</f>
        <v>0</v>
      </c>
      <c r="K78" s="357">
        <f ca="1">SUM(H78:J78)</f>
        <v>0</v>
      </c>
    </row>
    <row r="79" spans="2:11" ht="15.75" thickBot="1">
      <c r="B79" s="377"/>
      <c r="C79" s="378"/>
      <c r="D79" s="379"/>
      <c r="E79" s="380"/>
      <c r="F79" s="380"/>
      <c r="G79" s="380"/>
      <c r="H79" s="381"/>
      <c r="I79" s="381"/>
      <c r="J79" s="381"/>
      <c r="K79" s="382"/>
    </row>
    <row r="80" spans="2:11">
      <c r="B80" s="383"/>
      <c r="C80" s="604" t="s">
        <v>1008</v>
      </c>
      <c r="D80" s="604"/>
      <c r="E80" s="604"/>
      <c r="F80" s="604"/>
      <c r="G80" s="384" t="s">
        <v>9</v>
      </c>
      <c r="H80" s="385">
        <f ca="1">SUM(H14:H78)</f>
        <v>20897085</v>
      </c>
      <c r="I80" s="385">
        <f ca="1">SUM(I14:I78)</f>
        <v>6968373.5710000005</v>
      </c>
      <c r="J80" s="385">
        <f ca="1">SUM(J14:J78)</f>
        <v>1835433.3333333333</v>
      </c>
      <c r="K80" s="385">
        <f ca="1">SUM(K14:K78)</f>
        <v>29700891.904333334</v>
      </c>
    </row>
    <row r="81" spans="2:13">
      <c r="B81" s="387"/>
      <c r="C81" s="620" t="s">
        <v>1457</v>
      </c>
      <c r="D81" s="620"/>
      <c r="E81" s="620"/>
      <c r="F81" s="620"/>
      <c r="G81" s="388" t="s">
        <v>9</v>
      </c>
      <c r="H81" s="389">
        <f ca="1">H80*0.11</f>
        <v>2298679.35</v>
      </c>
      <c r="I81" s="389">
        <f ca="1">I80*0.11</f>
        <v>766521.09281000006</v>
      </c>
      <c r="J81" s="389">
        <f ca="1">J80*0.11</f>
        <v>201897.66666666666</v>
      </c>
      <c r="K81" s="389">
        <f ca="1">K80*0.11</f>
        <v>3267098.1094766669</v>
      </c>
    </row>
    <row r="82" spans="2:13" ht="15.75" thickBot="1">
      <c r="B82" s="387"/>
      <c r="C82" s="618" t="s">
        <v>463</v>
      </c>
      <c r="D82" s="618"/>
      <c r="E82" s="618"/>
      <c r="F82" s="618"/>
      <c r="G82" s="390" t="s">
        <v>9</v>
      </c>
      <c r="H82" s="391">
        <f ca="1">SUM(H80:H81)</f>
        <v>23195764.350000001</v>
      </c>
      <c r="I82" s="391">
        <f ca="1">SUM(I80:I81)</f>
        <v>7734894.6638100008</v>
      </c>
      <c r="J82" s="390">
        <f ca="1">SUM(J80:J81)</f>
        <v>2037331</v>
      </c>
      <c r="K82" s="390">
        <f ca="1">SUM(K80:K81)</f>
        <v>32967990.013810001</v>
      </c>
      <c r="M82" s="469"/>
    </row>
    <row r="83" spans="2:13">
      <c r="B83" s="621" t="str">
        <f ca="1">"Terbilang : "&amp;PROPER(IF(K82=0,"nol",IF(K82&lt;0,"minus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IF(--MID(TEXT(ABS(K82),"000000000000000"),1,3)=0,"",MID(TEXT(ABS(K82),"000000000000000"),1,1)&amp;" ratus "&amp;MID(TEXT(ABS(K82),"000000000000000"),2,1)&amp;" puluh "&amp;MID(TEXT(ABS(K82),"000000000000000"),3,1)&amp;" trilyun ")&amp; IF(--MID(TEXT(ABS(K82),"000000000000000"),4,3)=0,"",MID(TEXT(ABS(K82),"000000000000000"),4,1)&amp;" ratus "&amp;MID(TEXT(ABS(K82),"000000000000000"),5,1)&amp;" puluh "&amp;MID(TEXT(ABS(K82),"000000000000000"),6,1)&amp;" milyar ")&amp; IF(--MID(TEXT(ABS(K82),"000000000000000"),7,3)=0,"",MID(TEXT(ABS(K82),"000000000000000"),7,1)&amp;" ratus "&amp;MID(TEXT(ABS(K82),"000000000000000"),8,1)&amp;" puluh "&amp;MID(TEXT(ABS(K82),"000000000000000"),9,1)&amp;" juta ")&amp; IF(--MID(TEXT(ABS(K82),"000000000000000"),10,3)=0,"",IF(--MID(TEXT(ABS(K82),"000000000000000"),10,3)=1,"*",MID(TEXT(ABS(K82),"000000000000000"),10,1)&amp;" ratus "&amp;MID(TEXT(ABS(K82),"000000000000000"),11,1)&amp;" puluh ")&amp;MID(TEXT(ABS(K82),"000000000000000"),12,1)&amp;" ribu ")&amp; IF(--MID(TEXT(ABS(K82),"000000000000000"),13,3)=0,"",MID(TEXT(ABS(K82),"000000000000000"),13,1)&amp;" ratus "&amp;MID(TEXT(ABS(K82),"000000000000000"),14,1)&amp;" puluh "&amp;MID(TEXT(ABS(K82),"000000000000000"),15,1)),1,"satu"),2,"dua"),3,"tiga"),4,"empat"),5,"lima"),6,"enam"),7,"tujuh"),8,"delapan"),9,"sembilan"),"0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Dua Juta Sembilan Ratus Enam Puluh Tujuh Ribu Sembilan Ratus Sembilan Puluh Rupiah</v>
      </c>
      <c r="C83" s="622"/>
      <c r="D83" s="622"/>
      <c r="E83" s="622"/>
      <c r="F83" s="622"/>
      <c r="G83" s="622"/>
      <c r="H83" s="622"/>
      <c r="I83" s="622"/>
      <c r="J83" s="622"/>
      <c r="K83" s="623"/>
    </row>
    <row r="84" spans="2:13">
      <c r="B84" s="624"/>
      <c r="C84" s="625"/>
      <c r="D84" s="625"/>
      <c r="E84" s="625"/>
      <c r="F84" s="625"/>
      <c r="G84" s="625"/>
      <c r="H84" s="625"/>
      <c r="I84" s="625"/>
      <c r="J84" s="625"/>
      <c r="K84" s="626"/>
    </row>
    <row r="85" spans="2:13" ht="15.75" thickBot="1">
      <c r="B85" s="392" t="str">
        <f>"Harga yang dipakai adalah "&amp;'HARGA SATUAN'!I5&amp;""</f>
        <v>Harga yang dipakai adalah RAB HSS 2023</v>
      </c>
      <c r="C85" s="393"/>
      <c r="D85" s="394"/>
      <c r="E85" s="394"/>
      <c r="F85" s="394"/>
      <c r="G85" s="395"/>
      <c r="H85" s="395"/>
      <c r="I85" s="395"/>
      <c r="J85" s="395"/>
      <c r="K85" s="396"/>
    </row>
    <row r="86" spans="2:13">
      <c r="C86" s="397"/>
      <c r="E86" s="399"/>
      <c r="F86" s="399"/>
      <c r="G86" s="399"/>
    </row>
    <row r="87" spans="2:13">
      <c r="C87" s="334"/>
      <c r="E87" s="399"/>
      <c r="F87" s="399"/>
      <c r="G87" s="399"/>
      <c r="H87" s="627"/>
      <c r="I87" s="627"/>
      <c r="J87" s="628"/>
      <c r="K87" s="628"/>
    </row>
    <row r="88" spans="2:13">
      <c r="C88" s="334"/>
      <c r="E88" s="399"/>
      <c r="F88" s="399"/>
      <c r="G88" s="399"/>
      <c r="H88" s="400"/>
      <c r="I88" s="617" t="s">
        <v>1627</v>
      </c>
      <c r="J88" s="617"/>
      <c r="K88" s="617"/>
    </row>
    <row r="89" spans="2:13">
      <c r="C89" s="334"/>
      <c r="E89" s="399"/>
      <c r="F89" s="399"/>
      <c r="G89" s="399"/>
      <c r="H89" s="400"/>
      <c r="I89" s="617" t="s">
        <v>1628</v>
      </c>
      <c r="J89" s="617"/>
      <c r="K89" s="617"/>
    </row>
    <row r="90" spans="2:13">
      <c r="C90" s="334"/>
      <c r="E90" s="399"/>
      <c r="F90" s="399"/>
      <c r="G90" s="399"/>
      <c r="H90" s="401"/>
      <c r="I90" s="402"/>
      <c r="J90" s="402"/>
      <c r="K90" s="402"/>
    </row>
    <row r="91" spans="2:13">
      <c r="C91" s="334"/>
      <c r="E91" s="399"/>
      <c r="F91" s="399"/>
      <c r="G91" s="399"/>
      <c r="H91" s="401"/>
      <c r="I91" s="401"/>
      <c r="J91" s="401"/>
      <c r="K91" s="401"/>
    </row>
    <row r="92" spans="2:13">
      <c r="C92" s="334"/>
      <c r="E92" s="399"/>
      <c r="F92" s="399"/>
      <c r="G92" s="399"/>
      <c r="H92" s="401"/>
      <c r="I92" s="401"/>
      <c r="J92" s="401"/>
      <c r="K92" s="401"/>
    </row>
    <row r="93" spans="2:13">
      <c r="C93" s="334"/>
      <c r="E93" s="399"/>
      <c r="F93" s="399"/>
      <c r="G93" s="399"/>
      <c r="H93" s="401"/>
      <c r="I93" s="401"/>
      <c r="J93" s="401"/>
      <c r="K93" s="401"/>
    </row>
    <row r="94" spans="2:13">
      <c r="C94" s="334"/>
      <c r="E94" s="399"/>
      <c r="F94" s="399"/>
      <c r="G94" s="399"/>
      <c r="H94" s="403"/>
      <c r="I94" s="617" t="s">
        <v>1629</v>
      </c>
      <c r="J94" s="617"/>
      <c r="K94" s="617"/>
    </row>
    <row r="95" spans="2:13">
      <c r="C95" s="397"/>
      <c r="E95" s="399"/>
      <c r="F95" s="399"/>
      <c r="G95" s="399"/>
      <c r="H95" s="401"/>
      <c r="I95" s="401"/>
      <c r="J95" s="401"/>
      <c r="K95" s="401"/>
    </row>
    <row r="96" spans="2:13">
      <c r="C96" s="397"/>
      <c r="E96" s="399"/>
      <c r="F96" s="399"/>
      <c r="G96" s="399"/>
      <c r="H96" s="401"/>
      <c r="I96" s="401"/>
      <c r="J96" s="401"/>
      <c r="K96" s="401"/>
    </row>
    <row r="97" spans="3:11">
      <c r="C97" s="397"/>
      <c r="E97" s="399"/>
      <c r="F97" s="399"/>
      <c r="G97" s="399"/>
      <c r="H97" s="401"/>
      <c r="I97" s="401"/>
      <c r="J97" s="401"/>
      <c r="K97" s="401"/>
    </row>
  </sheetData>
  <sheetProtection sort="0" autoFilter="0"/>
  <protectedRanges>
    <protectedRange sqref="B57 B75 B64:B73" name="Range1_1"/>
    <protectedRange sqref="F57 F64:F76 F50:F51 F14:F49" name="Range1_1_2_2"/>
    <protectedRange sqref="C21:C49" name="Range1_1_3"/>
    <protectedRange sqref="B52:C52 B53 B56 B54:C55" name="Range1_6_1"/>
    <protectedRange sqref="C56" name="Range1_1_3_1"/>
    <protectedRange sqref="C53" name="Range1_1_3_10"/>
    <protectedRange sqref="C16" name="Range1_1_3_5"/>
    <protectedRange sqref="C17" name="Range1_1_3_9"/>
    <protectedRange sqref="C18" name="Range1_1_3_11"/>
  </protectedRanges>
  <mergeCells count="22">
    <mergeCell ref="I89:K89"/>
    <mergeCell ref="I94:K94"/>
    <mergeCell ref="C82:F82"/>
    <mergeCell ref="G6:K6"/>
    <mergeCell ref="I88:K88"/>
    <mergeCell ref="C81:F81"/>
    <mergeCell ref="B83:K84"/>
    <mergeCell ref="H87:K87"/>
    <mergeCell ref="H11:K11"/>
    <mergeCell ref="H12:H13"/>
    <mergeCell ref="J12:J13"/>
    <mergeCell ref="K12:K13"/>
    <mergeCell ref="O3:P4"/>
    <mergeCell ref="B4:K4"/>
    <mergeCell ref="C80:F80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:C19">
    <cfRule type="cellIs" dxfId="5" priority="3" operator="equal">
      <formula>0</formula>
    </cfRule>
  </conditionalFormatting>
  <conditionalFormatting sqref="C21 C28:C49 C57 C64:C73 C75">
    <cfRule type="cellIs" dxfId="4" priority="540" operator="equal">
      <formula>0</formula>
    </cfRule>
  </conditionalFormatting>
  <conditionalFormatting sqref="E1:E3 G1:G13 E5:E13 H12:I12 O13 E14:K28 S14:V49 E77:G77 H77:K79 E78:H78 E79:F79 E29:E34 G29:K34 E35:K76">
    <cfRule type="cellIs" dxfId="3" priority="1120" stopIfTrue="1" operator="equal">
      <formula>0</formula>
    </cfRule>
  </conditionalFormatting>
  <conditionalFormatting sqref="G78:G65544 E83:E65544">
    <cfRule type="cellIs" dxfId="2" priority="254" stopIfTrue="1" operator="equal">
      <formula>0</formula>
    </cfRule>
  </conditionalFormatting>
  <conditionalFormatting sqref="F29:F34">
    <cfRule type="cellIs" dxfId="1" priority="2" stopIfTrue="1" operator="equal">
      <formula>0</formula>
    </cfRule>
  </conditionalFormatting>
  <conditionalFormatting sqref="C5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58:F63 F22:F27 F29:F34 H14:K7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47" fitToHeight="30" orientation="portrait" horizontalDpi="1200" verticalDpi="1200" r:id="rId1"/>
  <rowBreaks count="1" manualBreakCount="1">
    <brk id="95" max="10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J44" zoomScale="160" zoomScaleNormal="115" zoomScaleSheetLayoutView="160" workbookViewId="0">
      <selection activeCell="AB53" sqref="AB53:AD53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1" t="s">
        <v>1439</v>
      </c>
      <c r="X2" s="632"/>
      <c r="Y2" s="632"/>
      <c r="Z2" s="632"/>
      <c r="AA2" s="632"/>
      <c r="AB2" s="632"/>
      <c r="AC2" s="632"/>
      <c r="AD2" s="633"/>
    </row>
    <row r="3" spans="3:30">
      <c r="C3" s="238"/>
      <c r="W3" s="634"/>
      <c r="X3" s="635"/>
      <c r="Y3" s="635"/>
      <c r="Z3" s="635"/>
      <c r="AA3" s="635"/>
      <c r="AB3" s="635"/>
      <c r="AC3" s="635"/>
      <c r="AD3" s="63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7" t="s">
        <v>990</v>
      </c>
      <c r="Y5" s="637"/>
      <c r="Z5" s="637"/>
      <c r="AA5" s="637" t="s">
        <v>988</v>
      </c>
      <c r="AB5" s="637"/>
      <c r="AC5" s="637" t="s">
        <v>989</v>
      </c>
      <c r="AD5" s="638"/>
    </row>
    <row r="6" spans="3:30">
      <c r="C6" s="238"/>
      <c r="W6" s="241">
        <v>1</v>
      </c>
      <c r="X6" s="637" t="s">
        <v>993</v>
      </c>
      <c r="Y6" s="637"/>
      <c r="Z6" s="637"/>
      <c r="AA6" s="637"/>
      <c r="AB6" s="637"/>
      <c r="AC6" s="637"/>
      <c r="AD6" s="638"/>
    </row>
    <row r="7" spans="3:30">
      <c r="C7" s="238"/>
      <c r="E7" s="475" t="str">
        <f>PETA!C6</f>
        <v>KOORDINAT : -6.896961, 110.620903</v>
      </c>
      <c r="W7" s="241">
        <v>2</v>
      </c>
      <c r="X7" s="637" t="s">
        <v>994</v>
      </c>
      <c r="Y7" s="637"/>
      <c r="Z7" s="637"/>
      <c r="AA7" s="637"/>
      <c r="AB7" s="637"/>
      <c r="AC7" s="637"/>
      <c r="AD7" s="638"/>
    </row>
    <row r="8" spans="3:30">
      <c r="C8" s="238"/>
      <c r="W8" s="241">
        <v>3</v>
      </c>
      <c r="X8" s="637" t="s">
        <v>995</v>
      </c>
      <c r="Y8" s="637"/>
      <c r="Z8" s="637"/>
      <c r="AA8" s="637"/>
      <c r="AB8" s="637"/>
      <c r="AC8" s="637"/>
      <c r="AD8" s="638"/>
    </row>
    <row r="9" spans="3:30">
      <c r="C9" s="238"/>
      <c r="W9" s="241">
        <v>4</v>
      </c>
      <c r="X9" s="637" t="s">
        <v>996</v>
      </c>
      <c r="Y9" s="637"/>
      <c r="Z9" s="637"/>
      <c r="AA9" s="637"/>
      <c r="AB9" s="637"/>
      <c r="AC9" s="637"/>
      <c r="AD9" s="638"/>
    </row>
    <row r="10" spans="3:30">
      <c r="C10" s="238"/>
      <c r="W10" s="241">
        <v>5</v>
      </c>
      <c r="X10" s="637" t="s">
        <v>997</v>
      </c>
      <c r="Y10" s="637"/>
      <c r="Z10" s="637"/>
      <c r="AA10" s="637"/>
      <c r="AB10" s="637"/>
      <c r="AC10" s="637"/>
      <c r="AD10" s="638"/>
    </row>
    <row r="11" spans="3:30">
      <c r="C11" s="238"/>
      <c r="W11" s="241">
        <v>6</v>
      </c>
      <c r="X11" s="637" t="s">
        <v>998</v>
      </c>
      <c r="Y11" s="637"/>
      <c r="Z11" s="637"/>
      <c r="AA11" s="637"/>
      <c r="AB11" s="637"/>
      <c r="AC11" s="637"/>
      <c r="AD11" s="638"/>
    </row>
    <row r="12" spans="3:30">
      <c r="C12" s="238"/>
      <c r="W12" s="241">
        <v>7</v>
      </c>
      <c r="X12" s="637" t="s">
        <v>999</v>
      </c>
      <c r="Y12" s="637"/>
      <c r="Z12" s="637"/>
      <c r="AA12" s="637"/>
      <c r="AB12" s="637"/>
      <c r="AC12" s="637"/>
      <c r="AD12" s="638"/>
    </row>
    <row r="13" spans="3:30" ht="12.75" customHeight="1">
      <c r="C13" s="238"/>
      <c r="W13" s="241">
        <v>8</v>
      </c>
      <c r="X13" s="637" t="s">
        <v>1000</v>
      </c>
      <c r="Y13" s="637"/>
      <c r="Z13" s="637"/>
      <c r="AA13" s="637"/>
      <c r="AB13" s="637"/>
      <c r="AC13" s="637"/>
      <c r="AD13" s="638"/>
    </row>
    <row r="14" spans="3:30">
      <c r="C14" s="238"/>
      <c r="W14" s="241">
        <v>9</v>
      </c>
      <c r="X14" s="637" t="s">
        <v>1001</v>
      </c>
      <c r="Y14" s="637"/>
      <c r="Z14" s="637"/>
      <c r="AA14" s="637"/>
      <c r="AB14" s="637"/>
      <c r="AC14" s="637"/>
      <c r="AD14" s="638"/>
    </row>
    <row r="15" spans="3:30">
      <c r="C15" s="238"/>
      <c r="W15" s="241">
        <v>10</v>
      </c>
      <c r="X15" s="637" t="s">
        <v>1010</v>
      </c>
      <c r="Y15" s="637"/>
      <c r="Z15" s="637"/>
      <c r="AA15" s="637"/>
      <c r="AB15" s="637"/>
      <c r="AC15" s="637"/>
      <c r="AD15" s="638"/>
    </row>
    <row r="16" spans="3:30">
      <c r="C16" s="238"/>
      <c r="W16" s="241">
        <v>11</v>
      </c>
      <c r="X16" s="637" t="s">
        <v>1455</v>
      </c>
      <c r="Y16" s="637"/>
      <c r="Z16" s="637"/>
      <c r="AA16" s="637"/>
      <c r="AB16" s="637"/>
      <c r="AC16" s="637"/>
      <c r="AD16" s="638"/>
    </row>
    <row r="17" spans="3:30">
      <c r="C17" s="238"/>
      <c r="S17" s="242"/>
      <c r="W17" s="241">
        <v>12</v>
      </c>
      <c r="X17" s="637" t="s">
        <v>1011</v>
      </c>
      <c r="Y17" s="637"/>
      <c r="Z17" s="637"/>
      <c r="AA17" s="637"/>
      <c r="AB17" s="637"/>
      <c r="AC17" s="637"/>
      <c r="AD17" s="638"/>
    </row>
    <row r="18" spans="3:30">
      <c r="C18" s="243"/>
      <c r="D18" s="244"/>
      <c r="E18" s="244"/>
      <c r="W18" s="241">
        <v>13</v>
      </c>
      <c r="X18" s="637"/>
      <c r="Y18" s="637"/>
      <c r="Z18" s="637"/>
      <c r="AA18" s="637"/>
      <c r="AB18" s="637"/>
      <c r="AC18" s="637"/>
      <c r="AD18" s="638"/>
    </row>
    <row r="19" spans="3:30">
      <c r="C19" s="238"/>
      <c r="W19" s="245"/>
      <c r="X19" s="654"/>
      <c r="Y19" s="654"/>
      <c r="Z19" s="654"/>
      <c r="AA19" s="654"/>
      <c r="AB19" s="654"/>
      <c r="AC19" s="654"/>
      <c r="AD19" s="655"/>
    </row>
    <row r="20" spans="3:30">
      <c r="C20" s="238"/>
      <c r="W20" s="639" t="s">
        <v>992</v>
      </c>
      <c r="X20" s="640"/>
      <c r="Y20" s="640"/>
      <c r="Z20" s="640"/>
      <c r="AA20" s="640"/>
      <c r="AB20" s="640"/>
      <c r="AC20" s="640"/>
      <c r="AD20" s="641"/>
    </row>
    <row r="21" spans="3:30">
      <c r="C21" s="238"/>
      <c r="W21" s="642" t="s">
        <v>985</v>
      </c>
      <c r="X21" s="643"/>
      <c r="Y21" s="643"/>
      <c r="Z21" s="644"/>
      <c r="AA21" s="645" t="s">
        <v>986</v>
      </c>
      <c r="AB21" s="646"/>
      <c r="AC21" s="646"/>
      <c r="AD21" s="647"/>
    </row>
    <row r="22" spans="3:30">
      <c r="C22" s="238"/>
      <c r="W22" s="648"/>
      <c r="X22" s="649"/>
      <c r="Y22" s="479"/>
      <c r="Z22" s="480"/>
      <c r="AA22" s="650"/>
      <c r="AB22" s="651"/>
      <c r="AC22" s="248"/>
      <c r="AD22" s="249"/>
    </row>
    <row r="23" spans="3:30">
      <c r="C23" s="238"/>
      <c r="W23" s="648"/>
      <c r="X23" s="649"/>
      <c r="Y23" s="479"/>
      <c r="Z23" s="480"/>
      <c r="AA23" s="652"/>
      <c r="AB23" s="653"/>
      <c r="AC23" s="248"/>
      <c r="AD23" s="249"/>
    </row>
    <row r="24" spans="3:30">
      <c r="C24" s="238"/>
      <c r="W24" s="658"/>
      <c r="X24" s="659"/>
      <c r="Y24" s="479"/>
      <c r="Z24" s="480"/>
      <c r="AA24" s="660"/>
      <c r="AB24" s="661"/>
      <c r="AC24" s="248"/>
      <c r="AD24" s="249"/>
    </row>
    <row r="25" spans="3:30">
      <c r="C25" s="238"/>
      <c r="W25" s="477"/>
      <c r="X25" s="478"/>
      <c r="Y25" s="479"/>
      <c r="Z25" s="480"/>
      <c r="AA25" s="652"/>
      <c r="AB25" s="653"/>
      <c r="AC25" s="248"/>
      <c r="AD25" s="249"/>
    </row>
    <row r="26" spans="3:30">
      <c r="C26" s="238"/>
      <c r="W26" s="658"/>
      <c r="X26" s="659"/>
      <c r="Y26" s="479"/>
      <c r="Z26" s="480"/>
      <c r="AA26" s="652"/>
      <c r="AB26" s="653"/>
      <c r="AC26" s="248"/>
      <c r="AD26" s="249"/>
    </row>
    <row r="27" spans="3:30">
      <c r="C27" s="238"/>
      <c r="W27" s="658"/>
      <c r="X27" s="659"/>
      <c r="Y27" s="479"/>
      <c r="Z27" s="480"/>
      <c r="AA27" s="656"/>
      <c r="AB27" s="657"/>
      <c r="AC27" s="248"/>
      <c r="AD27" s="249"/>
    </row>
    <row r="28" spans="3:30">
      <c r="C28" s="238"/>
      <c r="W28" s="658"/>
      <c r="X28" s="659"/>
      <c r="Y28" s="479"/>
      <c r="Z28" s="480"/>
      <c r="AA28" s="656"/>
      <c r="AB28" s="657"/>
      <c r="AC28" s="248"/>
      <c r="AD28" s="249"/>
    </row>
    <row r="29" spans="3:30">
      <c r="C29" s="238"/>
      <c r="W29" s="658"/>
      <c r="X29" s="659"/>
      <c r="Y29" s="479"/>
      <c r="Z29" s="480"/>
      <c r="AA29" s="656"/>
      <c r="AB29" s="657"/>
      <c r="AC29" s="248"/>
      <c r="AD29" s="249"/>
    </row>
    <row r="30" spans="3:30" ht="11.25" customHeight="1">
      <c r="C30" s="238"/>
      <c r="W30" s="477"/>
      <c r="X30" s="478"/>
      <c r="Y30" s="479"/>
      <c r="Z30" s="480"/>
      <c r="AA30" s="656"/>
      <c r="AB30" s="657"/>
      <c r="AC30" s="248"/>
      <c r="AD30" s="249"/>
    </row>
    <row r="31" spans="3:30">
      <c r="C31" s="238"/>
      <c r="U31" s="250"/>
      <c r="W31" s="658"/>
      <c r="X31" s="659"/>
      <c r="Y31" s="479"/>
      <c r="Z31" s="480"/>
      <c r="AA31" s="656"/>
      <c r="AB31" s="657"/>
      <c r="AC31" s="248"/>
      <c r="AD31" s="249"/>
    </row>
    <row r="32" spans="3:30">
      <c r="C32" s="238"/>
      <c r="U32" s="250"/>
      <c r="W32" s="648"/>
      <c r="X32" s="649"/>
      <c r="Y32" s="246"/>
      <c r="Z32" s="480"/>
      <c r="AA32" s="656"/>
      <c r="AB32" s="657"/>
      <c r="AC32" s="248"/>
      <c r="AD32" s="249"/>
    </row>
    <row r="33" spans="3:30">
      <c r="C33" s="238"/>
      <c r="W33" s="658"/>
      <c r="X33" s="659"/>
      <c r="Y33" s="479"/>
      <c r="Z33" s="480"/>
      <c r="AA33" s="662"/>
      <c r="AB33" s="662"/>
      <c r="AC33" s="248"/>
      <c r="AD33" s="249"/>
    </row>
    <row r="34" spans="3:30">
      <c r="C34" s="238"/>
      <c r="W34" s="477"/>
      <c r="X34" s="478"/>
      <c r="Y34" s="246"/>
      <c r="Z34" s="480"/>
      <c r="AA34" s="662"/>
      <c r="AB34" s="662"/>
      <c r="AC34" s="248"/>
      <c r="AD34" s="249"/>
    </row>
    <row r="35" spans="3:30">
      <c r="C35" s="238"/>
      <c r="W35" s="658"/>
      <c r="X35" s="659"/>
      <c r="Y35" s="246"/>
      <c r="Z35" s="247"/>
      <c r="AA35" s="662"/>
      <c r="AB35" s="662"/>
      <c r="AC35" s="248"/>
      <c r="AD35" s="249"/>
    </row>
    <row r="36" spans="3:30">
      <c r="C36" s="238"/>
      <c r="W36" s="658"/>
      <c r="X36" s="659"/>
      <c r="Y36" s="479"/>
      <c r="Z36" s="480"/>
      <c r="AA36" s="662"/>
      <c r="AB36" s="662"/>
      <c r="AC36" s="248"/>
      <c r="AD36" s="249"/>
    </row>
    <row r="37" spans="3:30" ht="12.75" customHeight="1">
      <c r="C37" s="238"/>
      <c r="W37" s="663"/>
      <c r="X37" s="664"/>
      <c r="Y37" s="246"/>
      <c r="Z37" s="480"/>
      <c r="AA37" s="665"/>
      <c r="AB37" s="665"/>
      <c r="AC37" s="251"/>
      <c r="AD37" s="252"/>
    </row>
    <row r="38" spans="3:30" ht="12.75" customHeight="1">
      <c r="C38" s="238"/>
      <c r="W38" s="663"/>
      <c r="X38" s="664"/>
      <c r="Y38" s="253"/>
      <c r="Z38" s="247"/>
      <c r="AA38" s="668"/>
      <c r="AB38" s="669"/>
      <c r="AC38" s="251"/>
      <c r="AD38" s="252"/>
    </row>
    <row r="39" spans="3:30" ht="12" customHeight="1">
      <c r="C39" s="238"/>
      <c r="W39" s="663"/>
      <c r="X39" s="664"/>
      <c r="Y39" s="253"/>
      <c r="Z39" s="254"/>
      <c r="AA39" s="666"/>
      <c r="AB39" s="667"/>
      <c r="AC39" s="251"/>
      <c r="AD39" s="252"/>
    </row>
    <row r="40" spans="3:30" ht="12" customHeight="1">
      <c r="C40" s="238"/>
      <c r="W40" s="673"/>
      <c r="X40" s="674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75"/>
      <c r="X41" s="676"/>
      <c r="Y41" s="257"/>
      <c r="Z41" s="258"/>
      <c r="AA41" s="666"/>
      <c r="AB41" s="667"/>
      <c r="AC41" s="251"/>
      <c r="AD41" s="252"/>
    </row>
    <row r="42" spans="3:30" ht="12" customHeight="1">
      <c r="C42" s="238"/>
      <c r="W42" s="677" t="s">
        <v>1456</v>
      </c>
      <c r="X42" s="678"/>
      <c r="Y42" s="678"/>
      <c r="Z42" s="678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70" t="s">
        <v>11</v>
      </c>
      <c r="X44" s="671"/>
      <c r="Y44" s="637"/>
      <c r="Z44" s="637"/>
      <c r="AA44" s="637"/>
      <c r="AB44" s="637"/>
      <c r="AC44" s="637"/>
      <c r="AD44" s="638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70" t="s">
        <v>984</v>
      </c>
      <c r="X45" s="671"/>
      <c r="Y45" s="637">
        <v>1</v>
      </c>
      <c r="Z45" s="637"/>
      <c r="AA45" s="637"/>
      <c r="AB45" s="637" t="s">
        <v>12</v>
      </c>
      <c r="AC45" s="637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70" t="s">
        <v>15</v>
      </c>
      <c r="X46" s="671"/>
      <c r="Y46" s="672"/>
      <c r="Z46" s="672"/>
      <c r="AA46" s="672"/>
      <c r="AB46" s="637" t="s">
        <v>16</v>
      </c>
      <c r="AC46" s="637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83" t="s">
        <v>17</v>
      </c>
      <c r="X47" s="683"/>
      <c r="Y47" s="683"/>
      <c r="Z47" s="683"/>
      <c r="AA47" s="683"/>
      <c r="AB47" s="683"/>
      <c r="AC47" s="683"/>
      <c r="AD47" s="684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85" t="str">
        <f>RAB!G6</f>
        <v>KLINIK UTAMA MUTIARA</v>
      </c>
      <c r="X48" s="685"/>
      <c r="Y48" s="685"/>
      <c r="Z48" s="685"/>
      <c r="AA48" s="685"/>
      <c r="AB48" s="685"/>
      <c r="AC48" s="685"/>
      <c r="AD48" s="686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85"/>
      <c r="X49" s="685"/>
      <c r="Y49" s="685"/>
      <c r="Z49" s="685"/>
      <c r="AA49" s="685"/>
      <c r="AB49" s="685"/>
      <c r="AC49" s="685"/>
      <c r="AD49" s="686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85"/>
      <c r="X50" s="685"/>
      <c r="Y50" s="685"/>
      <c r="Z50" s="685"/>
      <c r="AA50" s="685"/>
      <c r="AB50" s="685"/>
      <c r="AC50" s="685"/>
      <c r="AD50" s="686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87"/>
      <c r="X51" s="687"/>
      <c r="Y51" s="687"/>
      <c r="Z51" s="687"/>
      <c r="AA51" s="687"/>
      <c r="AB51" s="687"/>
      <c r="AC51" s="687"/>
      <c r="AD51" s="688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70" t="s">
        <v>18</v>
      </c>
      <c r="X52" s="671"/>
      <c r="Y52" s="637" t="s">
        <v>1623</v>
      </c>
      <c r="Z52" s="637"/>
      <c r="AA52" s="637"/>
      <c r="AB52" s="637"/>
      <c r="AC52" s="637"/>
      <c r="AD52" s="638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70" t="s">
        <v>19</v>
      </c>
      <c r="X53" s="671"/>
      <c r="Y53" s="637" t="s">
        <v>1624</v>
      </c>
      <c r="Z53" s="637"/>
      <c r="AA53" s="637"/>
      <c r="AB53" s="637"/>
      <c r="AC53" s="637"/>
      <c r="AD53" s="638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70" t="s">
        <v>20</v>
      </c>
      <c r="X54" s="671"/>
      <c r="Y54" s="679" t="s">
        <v>1625</v>
      </c>
      <c r="Z54" s="679"/>
      <c r="AA54" s="679"/>
      <c r="AB54" s="637"/>
      <c r="AC54" s="637"/>
      <c r="AD54" s="638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80" t="s">
        <v>21</v>
      </c>
      <c r="X55" s="681"/>
      <c r="Y55" s="679" t="s">
        <v>1626</v>
      </c>
      <c r="Z55" s="679"/>
      <c r="AA55" s="679"/>
      <c r="AB55" s="679"/>
      <c r="AC55" s="679"/>
      <c r="AD55" s="682"/>
    </row>
  </sheetData>
  <mergeCells count="108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V47" sqref="V47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9" t="s">
        <v>1528</v>
      </c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  <c r="AA4" s="690"/>
      <c r="AB4" s="690"/>
      <c r="AC4" s="691"/>
      <c r="AD4" s="217"/>
      <c r="AE4" s="216"/>
      <c r="AF4" s="216"/>
    </row>
    <row r="5" spans="2:32" ht="13.5" customHeight="1">
      <c r="B5" s="215"/>
      <c r="C5" s="215"/>
      <c r="D5" s="692"/>
      <c r="E5" s="693"/>
      <c r="F5" s="693"/>
      <c r="G5" s="693"/>
      <c r="H5" s="693"/>
      <c r="I5" s="693"/>
      <c r="J5" s="693"/>
      <c r="K5" s="693"/>
      <c r="L5" s="693"/>
      <c r="M5" s="693"/>
      <c r="N5" s="693"/>
      <c r="O5" s="693"/>
      <c r="P5" s="693"/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3"/>
      <c r="AC5" s="694"/>
      <c r="AD5" s="217"/>
      <c r="AE5" s="216"/>
      <c r="AF5" s="216"/>
    </row>
    <row r="6" spans="2:32" ht="12.75" customHeight="1">
      <c r="B6" s="215"/>
      <c r="C6" s="215"/>
      <c r="D6" s="692"/>
      <c r="E6" s="693"/>
      <c r="F6" s="693"/>
      <c r="G6" s="693"/>
      <c r="H6" s="693"/>
      <c r="I6" s="693"/>
      <c r="J6" s="693"/>
      <c r="K6" s="693"/>
      <c r="L6" s="693"/>
      <c r="M6" s="693"/>
      <c r="N6" s="693"/>
      <c r="O6" s="693"/>
      <c r="P6" s="693"/>
      <c r="Q6" s="693"/>
      <c r="R6" s="693"/>
      <c r="S6" s="693"/>
      <c r="T6" s="693"/>
      <c r="U6" s="693"/>
      <c r="V6" s="693"/>
      <c r="W6" s="693"/>
      <c r="X6" s="693"/>
      <c r="Y6" s="693"/>
      <c r="Z6" s="693"/>
      <c r="AA6" s="693"/>
      <c r="AB6" s="693"/>
      <c r="AC6" s="694"/>
      <c r="AE6" s="216"/>
      <c r="AF6" s="216"/>
    </row>
    <row r="7" spans="2:32" ht="12.75" customHeight="1" thickBot="1">
      <c r="B7" s="215"/>
      <c r="C7" s="215"/>
      <c r="D7" s="695"/>
      <c r="E7" s="696"/>
      <c r="F7" s="696"/>
      <c r="G7" s="696"/>
      <c r="H7" s="696"/>
      <c r="I7" s="696"/>
      <c r="J7" s="696"/>
      <c r="K7" s="696"/>
      <c r="L7" s="696"/>
      <c r="M7" s="696"/>
      <c r="N7" s="696"/>
      <c r="O7" s="696"/>
      <c r="P7" s="696"/>
      <c r="Q7" s="696"/>
      <c r="R7" s="696"/>
      <c r="S7" s="696"/>
      <c r="T7" s="696"/>
      <c r="U7" s="696"/>
      <c r="V7" s="696"/>
      <c r="W7" s="696"/>
      <c r="X7" s="696"/>
      <c r="Y7" s="696"/>
      <c r="Z7" s="696"/>
      <c r="AA7" s="696"/>
      <c r="AB7" s="696"/>
      <c r="AC7" s="69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C8" sqref="C8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3" t="s">
        <v>1527</v>
      </c>
      <c r="D3" s="693"/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693"/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698" t="s">
        <v>1622</v>
      </c>
      <c r="D6" s="698"/>
      <c r="E6" s="698"/>
      <c r="F6" s="698"/>
      <c r="G6" s="698"/>
      <c r="H6" s="698"/>
      <c r="I6" s="698"/>
      <c r="J6" s="698"/>
      <c r="K6" s="698"/>
      <c r="L6" s="698"/>
      <c r="M6" s="698"/>
      <c r="W6" s="182"/>
      <c r="Y6" s="417"/>
      <c r="Z6" s="417"/>
      <c r="AA6" s="417"/>
      <c r="AB6" s="418"/>
      <c r="AC6" s="418"/>
    </row>
    <row r="7" spans="1:29" ht="18" customHeight="1">
      <c r="A7" s="181"/>
      <c r="C7" s="698"/>
      <c r="D7" s="698"/>
      <c r="E7" s="698"/>
      <c r="F7" s="698"/>
      <c r="G7" s="698"/>
      <c r="H7" s="698"/>
      <c r="I7" s="698"/>
      <c r="J7" s="698"/>
      <c r="K7" s="698"/>
      <c r="L7" s="698"/>
      <c r="M7" s="698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2023-10-12T03:57:01Z</cp:lastPrinted>
  <dcterms:created xsi:type="dcterms:W3CDTF">2011-02-06T11:57:38Z</dcterms:created>
  <dcterms:modified xsi:type="dcterms:W3CDTF">2023-10-12T03:58:15Z</dcterms:modified>
</cp:coreProperties>
</file>