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2. BP KURANG DR INVESTASI (PP KRG DR 5TH)\KOS ERNA\"/>
    </mc:Choice>
  </mc:AlternateContent>
  <xr:revisionPtr revIDLastSave="0" documentId="8_{B93040DF-2475-4379-A60C-A80FC792A094}" xr6:coauthVersionLast="47" xr6:coauthVersionMax="47" xr10:uidLastSave="{00000000-0000-0000-0000-000000000000}"/>
  <bookViews>
    <workbookView xWindow="-120" yWindow="-120" windowWidth="24240" windowHeight="13140" tabRatio="859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76" i="11" l="1"/>
  <c r="F83" i="11" s="1"/>
  <c r="F78" i="11"/>
  <c r="D76" i="11"/>
  <c r="J76" i="11" s="1"/>
  <c r="E76" i="11"/>
  <c r="G76" i="11"/>
  <c r="D77" i="11"/>
  <c r="J77" i="11" s="1"/>
  <c r="E77" i="11"/>
  <c r="G77" i="11"/>
  <c r="D78" i="11"/>
  <c r="J78" i="11" s="1"/>
  <c r="E78" i="11"/>
  <c r="G78" i="11"/>
  <c r="D79" i="11"/>
  <c r="H79" i="11" s="1"/>
  <c r="E79" i="11"/>
  <c r="G79" i="11"/>
  <c r="D80" i="11"/>
  <c r="J80" i="11" s="1"/>
  <c r="E80" i="11"/>
  <c r="G80" i="11"/>
  <c r="D81" i="11"/>
  <c r="J81" i="11" s="1"/>
  <c r="E81" i="11"/>
  <c r="G81" i="11"/>
  <c r="D82" i="11"/>
  <c r="H82" i="11" s="1"/>
  <c r="E82" i="11"/>
  <c r="G82" i="11"/>
  <c r="D83" i="11"/>
  <c r="J83" i="11" s="1"/>
  <c r="E83" i="11"/>
  <c r="G83" i="11"/>
  <c r="D84" i="11"/>
  <c r="J84" i="11" s="1"/>
  <c r="E84" i="11"/>
  <c r="G84" i="11"/>
  <c r="D85" i="11"/>
  <c r="J85" i="11" s="1"/>
  <c r="E85" i="11"/>
  <c r="G85" i="11"/>
  <c r="D86" i="11"/>
  <c r="H86" i="11" s="1"/>
  <c r="E86" i="11"/>
  <c r="G86" i="11"/>
  <c r="D20" i="59"/>
  <c r="F40" i="11"/>
  <c r="F39" i="11"/>
  <c r="F38" i="11"/>
  <c r="F37" i="11"/>
  <c r="F36" i="11"/>
  <c r="F80" i="11" l="1"/>
  <c r="J86" i="11"/>
  <c r="I76" i="11"/>
  <c r="F77" i="11"/>
  <c r="I77" i="11" s="1"/>
  <c r="F81" i="11"/>
  <c r="F82" i="11"/>
  <c r="H80" i="11"/>
  <c r="J79" i="11"/>
  <c r="F79" i="11"/>
  <c r="I79" i="11" s="1"/>
  <c r="H83" i="11"/>
  <c r="J82" i="11"/>
  <c r="I80" i="11"/>
  <c r="H76" i="11"/>
  <c r="I83" i="11"/>
  <c r="I78" i="11"/>
  <c r="I84" i="11"/>
  <c r="I86" i="11"/>
  <c r="K86" i="11" s="1"/>
  <c r="H84" i="11"/>
  <c r="I85" i="11"/>
  <c r="I81" i="11"/>
  <c r="H85" i="11"/>
  <c r="I82" i="11"/>
  <c r="H77" i="11"/>
  <c r="H78" i="11"/>
  <c r="H81" i="11"/>
  <c r="D35" i="11"/>
  <c r="H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H38" i="11" s="1"/>
  <c r="E38" i="11"/>
  <c r="G38" i="11"/>
  <c r="D39" i="11"/>
  <c r="J39" i="11" s="1"/>
  <c r="E39" i="11"/>
  <c r="G39" i="11"/>
  <c r="D40" i="11"/>
  <c r="E40" i="11"/>
  <c r="G40" i="11"/>
  <c r="D41" i="11"/>
  <c r="J41" i="11" s="1"/>
  <c r="E41" i="11"/>
  <c r="G41" i="11"/>
  <c r="F44" i="11"/>
  <c r="K76" i="11" l="1"/>
  <c r="K84" i="11"/>
  <c r="K80" i="11"/>
  <c r="K85" i="11"/>
  <c r="K78" i="11"/>
  <c r="K79" i="11"/>
  <c r="K77" i="11"/>
  <c r="K81" i="11"/>
  <c r="K82" i="11"/>
  <c r="K83" i="11"/>
  <c r="I38" i="11"/>
  <c r="J40" i="11"/>
  <c r="J38" i="11"/>
  <c r="J37" i="11"/>
  <c r="I39" i="11"/>
  <c r="I35" i="11"/>
  <c r="H41" i="11"/>
  <c r="H39" i="11"/>
  <c r="I37" i="11"/>
  <c r="I36" i="11"/>
  <c r="J35" i="11"/>
  <c r="I41" i="11"/>
  <c r="H40" i="11"/>
  <c r="H36" i="11"/>
  <c r="K36" i="11" s="1"/>
  <c r="I40" i="11"/>
  <c r="F74" i="11"/>
  <c r="F72" i="11"/>
  <c r="F71" i="11"/>
  <c r="G70" i="11"/>
  <c r="G71" i="11"/>
  <c r="G72" i="11"/>
  <c r="G73" i="11"/>
  <c r="G74" i="11"/>
  <c r="G75" i="11"/>
  <c r="D70" i="11"/>
  <c r="H70" i="11" s="1"/>
  <c r="E70" i="11"/>
  <c r="J71" i="11"/>
  <c r="E71" i="11"/>
  <c r="D72" i="11"/>
  <c r="I72" i="11" s="1"/>
  <c r="E72" i="11"/>
  <c r="E73" i="11"/>
  <c r="D74" i="11"/>
  <c r="H74" i="11" s="1"/>
  <c r="E74" i="11"/>
  <c r="D75" i="11"/>
  <c r="J75" i="11" s="1"/>
  <c r="E75" i="11"/>
  <c r="K39" i="11" l="1"/>
  <c r="K35" i="11"/>
  <c r="K38" i="11"/>
  <c r="K37" i="11"/>
  <c r="K41" i="11"/>
  <c r="K40" i="11"/>
  <c r="H73" i="11"/>
  <c r="I71" i="11"/>
  <c r="I75" i="11"/>
  <c r="H72" i="11"/>
  <c r="J70" i="11"/>
  <c r="J74" i="11"/>
  <c r="H75" i="11"/>
  <c r="I74" i="11"/>
  <c r="J73" i="11"/>
  <c r="H71" i="11"/>
  <c r="I70" i="11"/>
  <c r="I73" i="11"/>
  <c r="J72" i="11"/>
  <c r="K73" i="11" l="1"/>
  <c r="K72" i="11"/>
  <c r="K71" i="11"/>
  <c r="K70" i="11"/>
  <c r="K75" i="11"/>
  <c r="K74" i="11"/>
  <c r="D87" i="11" l="1"/>
  <c r="H87" i="11" s="1"/>
  <c r="E87" i="11"/>
  <c r="G87" i="11"/>
  <c r="F17" i="11"/>
  <c r="I87" i="11" l="1"/>
  <c r="J87" i="11"/>
  <c r="F61" i="11"/>
  <c r="F62" i="11" s="1"/>
  <c r="F55" i="11"/>
  <c r="F59" i="11" s="1"/>
  <c r="F53" i="11"/>
  <c r="F52" i="11"/>
  <c r="F51" i="11"/>
  <c r="F50" i="11"/>
  <c r="F49" i="11"/>
  <c r="F48" i="11"/>
  <c r="D46" i="11"/>
  <c r="H46" i="11" s="1"/>
  <c r="E46" i="11"/>
  <c r="G46" i="11"/>
  <c r="D47" i="11"/>
  <c r="J47" i="11" s="1"/>
  <c r="E47" i="11"/>
  <c r="G47" i="11"/>
  <c r="D48" i="11"/>
  <c r="H48" i="11" s="1"/>
  <c r="E48" i="11"/>
  <c r="G48" i="11"/>
  <c r="D49" i="11"/>
  <c r="J49" i="11" s="1"/>
  <c r="E49" i="11"/>
  <c r="G49" i="11"/>
  <c r="D50" i="11"/>
  <c r="J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J54" i="11" s="1"/>
  <c r="E54" i="11"/>
  <c r="G54" i="11"/>
  <c r="D55" i="11"/>
  <c r="J55" i="11" s="1"/>
  <c r="E55" i="11"/>
  <c r="G55" i="11"/>
  <c r="D56" i="11"/>
  <c r="H56" i="11" s="1"/>
  <c r="E56" i="11"/>
  <c r="G56" i="11"/>
  <c r="D57" i="11"/>
  <c r="J57" i="11" s="1"/>
  <c r="E57" i="11"/>
  <c r="G57" i="11"/>
  <c r="D58" i="11"/>
  <c r="J58" i="11" s="1"/>
  <c r="E58" i="11"/>
  <c r="G58" i="11"/>
  <c r="D59" i="11"/>
  <c r="E59" i="11"/>
  <c r="G59" i="11"/>
  <c r="D60" i="11"/>
  <c r="J60" i="11" s="1"/>
  <c r="E60" i="11"/>
  <c r="G60" i="11"/>
  <c r="D61" i="11"/>
  <c r="H61" i="11" s="1"/>
  <c r="E61" i="11"/>
  <c r="G61" i="11"/>
  <c r="D62" i="11"/>
  <c r="J62" i="11" s="1"/>
  <c r="E62" i="11"/>
  <c r="G62" i="11"/>
  <c r="D63" i="11"/>
  <c r="J63" i="11" s="1"/>
  <c r="E63" i="11"/>
  <c r="G63" i="11"/>
  <c r="D64" i="11"/>
  <c r="H64" i="11" s="1"/>
  <c r="E64" i="11"/>
  <c r="G64" i="11"/>
  <c r="D65" i="11"/>
  <c r="H65" i="11" s="1"/>
  <c r="E65" i="11"/>
  <c r="G65" i="11"/>
  <c r="D66" i="11"/>
  <c r="H66" i="11" s="1"/>
  <c r="E66" i="11"/>
  <c r="G66" i="11"/>
  <c r="D67" i="11"/>
  <c r="J67" i="11" s="1"/>
  <c r="E67" i="11"/>
  <c r="G67" i="11"/>
  <c r="D68" i="11"/>
  <c r="J68" i="11" s="1"/>
  <c r="E68" i="11"/>
  <c r="G68" i="11"/>
  <c r="C6" i="62"/>
  <c r="D15" i="11"/>
  <c r="J15" i="11" s="1"/>
  <c r="E15" i="11"/>
  <c r="G15" i="11"/>
  <c r="D16" i="11"/>
  <c r="J16" i="11" s="1"/>
  <c r="E16" i="11"/>
  <c r="G16" i="11"/>
  <c r="D17" i="11"/>
  <c r="E17" i="11"/>
  <c r="G17" i="11"/>
  <c r="D19" i="11"/>
  <c r="H19" i="11" s="1"/>
  <c r="E19" i="11"/>
  <c r="G19" i="11"/>
  <c r="F33" i="11"/>
  <c r="F32" i="11"/>
  <c r="F31" i="11"/>
  <c r="F30" i="11"/>
  <c r="F29" i="11"/>
  <c r="F26" i="11"/>
  <c r="F25" i="11"/>
  <c r="F24" i="11"/>
  <c r="F23" i="11"/>
  <c r="F22" i="11"/>
  <c r="D20" i="11"/>
  <c r="J20" i="11" s="1"/>
  <c r="E20" i="11"/>
  <c r="G20" i="11"/>
  <c r="D21" i="11"/>
  <c r="J21" i="11" s="1"/>
  <c r="E21" i="11"/>
  <c r="G21" i="11"/>
  <c r="D22" i="11"/>
  <c r="H22" i="11" s="1"/>
  <c r="E22" i="11"/>
  <c r="G22" i="11"/>
  <c r="D23" i="11"/>
  <c r="H23" i="11" s="1"/>
  <c r="E23" i="11"/>
  <c r="G23" i="11"/>
  <c r="D24" i="11"/>
  <c r="J24" i="11" s="1"/>
  <c r="E24" i="11"/>
  <c r="G24" i="11"/>
  <c r="D25" i="11"/>
  <c r="J25" i="11" s="1"/>
  <c r="E25" i="11"/>
  <c r="G25" i="11"/>
  <c r="D26" i="11"/>
  <c r="H26" i="11" s="1"/>
  <c r="E26" i="11"/>
  <c r="G26" i="11"/>
  <c r="D27" i="11"/>
  <c r="H27" i="11" s="1"/>
  <c r="E27" i="11"/>
  <c r="G27" i="11"/>
  <c r="D28" i="11"/>
  <c r="J28" i="11" s="1"/>
  <c r="E28" i="11"/>
  <c r="G28" i="11"/>
  <c r="D29" i="11"/>
  <c r="J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E33" i="11"/>
  <c r="G33" i="11"/>
  <c r="D34" i="11"/>
  <c r="H34" i="11" s="1"/>
  <c r="E34" i="11"/>
  <c r="G34" i="11"/>
  <c r="D42" i="11"/>
  <c r="H42" i="11" s="1"/>
  <c r="E42" i="11"/>
  <c r="G42" i="11"/>
  <c r="D43" i="11"/>
  <c r="J43" i="11" s="1"/>
  <c r="E43" i="11"/>
  <c r="G43" i="11"/>
  <c r="I44" i="11"/>
  <c r="D45" i="11"/>
  <c r="J45" i="11" s="1"/>
  <c r="E45" i="11"/>
  <c r="G45" i="11"/>
  <c r="G69" i="11"/>
  <c r="D69" i="11"/>
  <c r="I69" i="11" s="1"/>
  <c r="E69" i="11"/>
  <c r="K87" i="11" l="1"/>
  <c r="F63" i="11"/>
  <c r="F56" i="11"/>
  <c r="I56" i="11" s="1"/>
  <c r="F64" i="11"/>
  <c r="I64" i="11" s="1"/>
  <c r="F65" i="11"/>
  <c r="J65" i="11" s="1"/>
  <c r="F57" i="11"/>
  <c r="I57" i="11" s="1"/>
  <c r="F58" i="11"/>
  <c r="I58" i="11" s="1"/>
  <c r="I62" i="11"/>
  <c r="J46" i="11"/>
  <c r="I54" i="11"/>
  <c r="I50" i="11"/>
  <c r="H49" i="11"/>
  <c r="J48" i="11"/>
  <c r="I46" i="11"/>
  <c r="J59" i="11"/>
  <c r="I67" i="11"/>
  <c r="I65" i="11"/>
  <c r="H62" i="11"/>
  <c r="I61" i="11"/>
  <c r="I60" i="11"/>
  <c r="H58" i="11"/>
  <c r="H54" i="11"/>
  <c r="I53" i="11"/>
  <c r="I52" i="11"/>
  <c r="I49" i="11"/>
  <c r="I48" i="11"/>
  <c r="J64" i="11"/>
  <c r="J61" i="11"/>
  <c r="H60" i="11"/>
  <c r="I59" i="11"/>
  <c r="H57" i="11"/>
  <c r="J56" i="11"/>
  <c r="J53" i="11"/>
  <c r="H52" i="11"/>
  <c r="I51" i="11"/>
  <c r="H67" i="11"/>
  <c r="I66" i="11"/>
  <c r="H50" i="11"/>
  <c r="I63" i="11"/>
  <c r="I55" i="11"/>
  <c r="I47" i="11"/>
  <c r="H68" i="11"/>
  <c r="J66" i="11"/>
  <c r="H63" i="11"/>
  <c r="H59" i="11"/>
  <c r="H55" i="11"/>
  <c r="H51" i="11"/>
  <c r="H47" i="11"/>
  <c r="I68" i="11"/>
  <c r="I15" i="11"/>
  <c r="H15" i="11"/>
  <c r="I16" i="11"/>
  <c r="H16" i="11"/>
  <c r="J19" i="11"/>
  <c r="I19" i="11"/>
  <c r="J17" i="11"/>
  <c r="I17" i="11"/>
  <c r="H17" i="11"/>
  <c r="I24" i="11"/>
  <c r="J26" i="11"/>
  <c r="I20" i="11"/>
  <c r="J42" i="11"/>
  <c r="J34" i="11"/>
  <c r="I28" i="11"/>
  <c r="J27" i="11"/>
  <c r="J30" i="11"/>
  <c r="J23" i="11"/>
  <c r="J22" i="11"/>
  <c r="H20" i="11"/>
  <c r="I32" i="11"/>
  <c r="H24" i="11"/>
  <c r="H28" i="11"/>
  <c r="I43" i="11"/>
  <c r="H43" i="11"/>
  <c r="J31" i="11"/>
  <c r="I42" i="11"/>
  <c r="J33" i="11"/>
  <c r="I31" i="11"/>
  <c r="I27" i="11"/>
  <c r="I23" i="11"/>
  <c r="H32" i="11"/>
  <c r="I34" i="11"/>
  <c r="I33" i="11"/>
  <c r="I30" i="11"/>
  <c r="I29" i="11"/>
  <c r="I26" i="11"/>
  <c r="I25" i="11"/>
  <c r="I22" i="11"/>
  <c r="I21" i="11"/>
  <c r="I45" i="11"/>
  <c r="H44" i="11"/>
  <c r="H33" i="11"/>
  <c r="H29" i="11"/>
  <c r="H25" i="11"/>
  <c r="H21" i="11"/>
  <c r="J44" i="11"/>
  <c r="H45" i="11"/>
  <c r="H69" i="11"/>
  <c r="J69" i="11"/>
  <c r="D16" i="60"/>
  <c r="K58" i="11" l="1"/>
  <c r="K57" i="11"/>
  <c r="K49" i="11"/>
  <c r="K60" i="11"/>
  <c r="K59" i="11"/>
  <c r="K48" i="11"/>
  <c r="K53" i="11"/>
  <c r="K62" i="11"/>
  <c r="K63" i="11"/>
  <c r="K52" i="11"/>
  <c r="K46" i="11"/>
  <c r="K51" i="11"/>
  <c r="K66" i="11"/>
  <c r="K50" i="11"/>
  <c r="K56" i="11"/>
  <c r="K61" i="11"/>
  <c r="K54" i="11"/>
  <c r="K65" i="11"/>
  <c r="K64" i="11"/>
  <c r="K67" i="11"/>
  <c r="K47" i="11"/>
  <c r="K55" i="11"/>
  <c r="K68" i="11"/>
  <c r="K15" i="11"/>
  <c r="K16" i="11"/>
  <c r="K26" i="11"/>
  <c r="K19" i="11"/>
  <c r="K31" i="11"/>
  <c r="K17" i="11"/>
  <c r="K42" i="11"/>
  <c r="K24" i="11"/>
  <c r="K34" i="11"/>
  <c r="K20" i="11"/>
  <c r="K30" i="11"/>
  <c r="K25" i="11"/>
  <c r="K28" i="11"/>
  <c r="K22" i="11"/>
  <c r="K27" i="11"/>
  <c r="K43" i="11"/>
  <c r="K33" i="11"/>
  <c r="K23" i="11"/>
  <c r="K21" i="11"/>
  <c r="K32" i="11"/>
  <c r="K45" i="11"/>
  <c r="K29" i="11"/>
  <c r="K44" i="11"/>
  <c r="K69" i="11"/>
  <c r="G6" i="11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88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8" i="11"/>
  <c r="D89" i="11"/>
  <c r="H89" i="11" s="1"/>
  <c r="E89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89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6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8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9" i="11"/>
  <c r="I89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89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91" i="11"/>
  <c r="H92" i="11" s="1"/>
  <c r="I91" i="11"/>
  <c r="I92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45" i="29" l="1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93" i="11"/>
  <c r="I93" i="11"/>
  <c r="F364" i="29"/>
  <c r="F69" i="39"/>
  <c r="F72" i="39"/>
  <c r="F367" i="29"/>
  <c r="J88" i="11"/>
  <c r="K88" i="11" s="1"/>
  <c r="K91" i="11" s="1"/>
  <c r="K92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91" i="11"/>
  <c r="J92" i="11" s="1"/>
  <c r="K93" i="11"/>
  <c r="B9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93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28" i="4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<sst xmlns="http://schemas.openxmlformats.org/spreadsheetml/2006/main" count="4756" uniqueCount="1635">
  <si>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</si>
  <si>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</si>
  <si>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</si>
  <si>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</si>
  <si>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</si>
  <si>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</si>
  <si>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</si>
  <si>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</si>
  <si>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</si>
  <si>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</si>
  <si>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</si>
  <si>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</si>
  <si>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</si>
  <si>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</si>
  <si>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</si>
  <si>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</si>
  <si>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</si>
  <si>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</si>
  <si>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</si>
  <si>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</si>
  <si>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</si>
  <si>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</si>
  <si>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</si>
  <si>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</si>
  <si>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</si>
  <si>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</si>
  <si>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</si>
  <si>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</si>
  <si>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</si>
  <si>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</si>
  <si>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</si>
  <si>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</si>
  <si>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</si>
  <si>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</si>
  <si>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</si>
  <si>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</si>
  <si>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</si>
  <si>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</si>
  <si>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</si>
  <si>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</si>
  <si>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</si>
  <si>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</si>
  <si>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</si>
  <si>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</si>
  <si>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</si>
  <si>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</si>
  <si>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</si>
  <si>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</si>
  <si>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</si>
  <si>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</si>
  <si>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</si>
  <si>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</si>
  <si>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</si>
  <si>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</si>
  <si>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</si>
  <si>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</si>
  <si>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</si>
  <si>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</si>
  <si>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</si>
  <si>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</si>
  <si>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</si>
  <si>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</si>
  <si>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</si>
  <si>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</si>
  <si>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</si>
  <si>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</si>
  <si>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</si>
  <si>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</si>
  <si>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</si>
  <si>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</si>
  <si>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</si>
  <si>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</si>
  <si>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</si>
  <si>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</si>
  <si>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</si>
  <si>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</si>
  <si>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</si>
  <si>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</si>
  <si>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</si>
  <si>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</si>
  <si>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</si>
  <si>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</si>
  <si>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</si>
  <si>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</si>
  <si>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</si>
  <si>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</si>
  <si>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</si>
  <si>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</si>
  <si>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</si>
  <si>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</si>
  <si>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</si>
  <si>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</si>
  <si>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</si>
  <si>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</si>
  <si>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</si>
  <si>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</si>
  <si>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</si>
  <si>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</si>
  <si>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</si>
  <si>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</si>
  <si>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</si>
  <si>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</si>
  <si>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</si>
  <si>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</si>
  <si>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</si>
  <si>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</si>
  <si>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</si>
  <si>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</si>
  <si>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</si>
  <si>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</si>
  <si>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</si>
  <si>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</si>
  <si>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</si>
  <si>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</si>
  <si>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</si>
  <si>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</si>
  <si>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</si>
  <si>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</si>
  <si>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</si>
  <si>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</si>
  <si>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</si>
  <si>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</si>
  <si>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</si>
  <si>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</si>
  <si>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</si>
  <si>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</si>
  <si>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</si>
  <si>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</si>
  <si>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</si>
  <si>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</si>
  <si>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</si>
  <si>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</si>
  <si>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</si>
  <si>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</si>
  <si>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</si>
  <si>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</si>
  <si>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</si>
  <si>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</si>
  <si>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</si>
  <si>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</si>
  <si>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</si>
  <si>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</si>
  <si>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</si>
  <si>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</si>
  <si>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</si>
  <si>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</si>
  <si>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</si>
  <si>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</si>
  <si>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</si>
  <si>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</si>
  <si>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</si>
  <si>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</si>
  <si>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</si>
  <si>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</si>
  <si>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</si>
  <si>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</si>
  <si>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</si>
  <si>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</si>
  <si>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</si>
  <si>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</si>
  <si>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</si>
  <si>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</si>
  <si>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</si>
  <si>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</si>
  <si>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</si>
  <si>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</si>
  <si>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</si>
  <si>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</si>
  <si>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</si>
  <si>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</si>
  <si>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</si>
  <si>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</si>
  <si>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</si>
  <si>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</si>
  <si>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</si>
  <si>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</si>
  <si>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</si>
  <si>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</si>
  <si>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</si>
  <si>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</si>
  <si>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</si>
  <si>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</si>
  <si>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</si>
  <si>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</si>
  <si>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</si>
  <si>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</si>
  <si>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</si>
  <si>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</si>
  <si>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</si>
  <si>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</si>
  <si>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</si>
  <si>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</si>
  <si>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</si>
  <si>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</si>
  <si>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</si>
  <si>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</si>
  <si>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</si>
  <si>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</si>
  <si>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</si>
  <si>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</si>
  <si>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</si>
  <si>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</si>
  <si>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</si>
  <si>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</si>
  <si>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</si>
  <si>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</si>
  <si>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</si>
  <si>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</si>
  <si>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</si>
  <si>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</si>
  <si>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</si>
  <si>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</si>
  <si>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</si>
  <si>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</si>
  <si>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</si>
  <si>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</si>
  <si>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</si>
  <si>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</si>
  <si>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</si>
  <si>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</si>
  <si>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</si>
  <si>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</si>
  <si>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</si>
  <si>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</si>
  <si>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</si>
  <si>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</si>
  <si>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</si>
  <si>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</si>
  <si>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</si>
  <si>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</si>
  <si>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</si>
  <si>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</si>
  <si>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</si>
  <si>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</si>
  <si>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</si>
  <si>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</si>
  <si>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</si>
  <si>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</si>
  <si>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</si>
  <si>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</si>
  <si>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</si>
  <si>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</si>
  <si>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</si>
  <si>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</si>
  <si>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</si>
  <si>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</si>
  <si>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</si>
  <si>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</si>
  <si>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</si>
  <si>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</si>
  <si>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</si>
  <si>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</si>
  <si>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</si>
  <si>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</si>
  <si>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</si>
  <si>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</si>
  <si>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</si>
  <si>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</si>
  <si>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</si>
  <si>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</si>
  <si>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</si>
  <si>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</si>
  <si>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</si>
  <si>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</si>
  <si>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</si>
  <si>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</si>
  <si>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</si>
  <si>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</si>
  <si>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</si>
  <si>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</si>
  <si>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</si>
  <si>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</si>
  <si>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</si>
  <si>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</si>
  <si>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</si>
  <si>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</si>
  <si>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</si>
  <si>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</si>
  <si>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</si>
  <si>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</si>
  <si>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</si>
  <si>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</si>
  <si>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</si>
  <si>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</si>
  <si>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</si>
  <si>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</si>
  <si>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</si>
  <si>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</si>
  <si>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</si>
  <si>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</si>
  <si>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</si>
  <si>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</si>
  <si>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</si>
  <si>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</si>
  <si>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</si>
  <si>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</si>
  <si>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</si>
  <si>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</si>
  <si>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</si>
  <si>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</si>
  <si>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</si>
  <si>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</si>
  <si>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</si>
  <si>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</si>
  <si>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</si>
  <si>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</si>
  <si>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</si>
  <si>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</si>
  <si>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</si>
  <si>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</si>
  <si>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</si>
  <si>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</si>
  <si>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</si>
  <si>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</si>
  <si>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</si>
  <si>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</si>
  <si>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</si>
  <si>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</si>
  <si>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</si>
  <si>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</si>
  <si>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</si>
  <si>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</si>
  <si>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</si>
  <si>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</si>
  <si>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</si>
  <si>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</si>
  <si>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</si>
  <si>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</si>
  <si>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</si>
  <si>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</si>
  <si>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</si>
  <si>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</si>
  <si>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</si>
  <si>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</si>
  <si>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</si>
  <si>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</si>
  <si>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</si>
  <si>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</si>
  <si>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</si>
  <si>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</si>
  <si>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</si>
  <si>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</si>
  <si>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</si>
  <si>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</si>
  <si>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</si>
  <si>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</si>
  <si>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</si>
  <si>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</si>
  <si>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</si>
  <si>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</si>
  <si>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</si>
  <si>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</si>
  <si>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</si>
  <si>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</si>
  <si>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</si>
  <si>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</si>
  <si>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</si>
  <si>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</si>
  <si>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</si>
  <si>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</si>
  <si>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</si>
  <si>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</si>
  <si>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</si>
  <si>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</si>
  <si>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</si>
  <si>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</si>
  <si>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</si>
  <si>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</si>
  <si>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</si>
  <si>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</si>
  <si>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</si>
  <si>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</si>
  <si>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</si>
  <si>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</si>
  <si>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</si>
  <si>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</si>
  <si>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</si>
  <si>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</si>
  <si>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</si>
  <si>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</si>
  <si>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</si>
  <si>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</si>
  <si>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</si>
  <si>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</si>
  <si>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</si>
  <si>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</si>
  <si>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</si>
  <si>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</si>
  <si>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</si>
  <si>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</si>
  <si>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</si>
  <si>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</si>
  <si>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</si>
  <si>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</si>
  <si>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</si>
  <si>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</si>
  <si>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</si>
  <si>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</si>
  <si>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</si>
  <si>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</si>
  <si>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</si>
  <si>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</si>
  <si>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</si>
  <si>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</si>
  <si>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</si>
  <si>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</si>
  <si>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</si>
  <si>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</si>
  <si>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</si>
  <si>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</si>
  <si>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</si>
  <si>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</si>
  <si>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</si>
  <si>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</si>
  <si>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</si>
  <si>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</si>
  <si>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</si>
  <si>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</si>
  <si>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</si>
  <si>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</si>
  <si>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</si>
  <si>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</si>
  <si>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</si>
  <si>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</si>
  <si>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</si>
  <si>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</si>
  <si>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</si>
  <si>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</si>
  <si>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</si>
  <si>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</si>
  <si>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</si>
  <si>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</si>
  <si>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</si>
  <si>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</si>
  <si>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</si>
  <si>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</si>
  <si>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</si>
  <si>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</si>
  <si>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</si>
  <si>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</si>
  <si>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</si>
  <si>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</si>
  <si>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</si>
  <si>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</si>
  <si>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</si>
  <si>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</si>
  <si>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</si>
  <si>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</si>
  <si>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</si>
  <si>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</si>
  <si>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</si>
  <si>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</si>
  <si>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</si>
  <si>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</si>
  <si>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</si>
  <si>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</si>
  <si>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</si>
  <si>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</si>
  <si>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</si>
  <si>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</si>
  <si>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</si>
  <si>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</si>
  <si>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</si>
  <si>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</si>
  <si>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</si>
  <si>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</si>
  <si>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</si>
  <si>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</si>
  <si>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</si>
  <si>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</si>
  <si>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</si>
  <si>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</si>
  <si>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</si>
  <si>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</si>
  <si>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</si>
  <si>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</si>
  <si>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</si>
  <si>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</si>
  <si>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</si>
  <si>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</si>
  <si>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</si>
  <si>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</si>
  <si>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</si>
  <si>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</si>
  <si>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</si>
  <si>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</si>
  <si>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</si>
  <si>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</si>
  <si>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</si>
  <si>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</si>
  <si>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</si>
  <si>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</si>
  <si>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</si>
  <si>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</si>
  <si>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</si>
  <si>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</si>
  <si>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</si>
  <si>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</si>
  <si>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</si>
  <si>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</si>
  <si>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</si>
  <si>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</si>
  <si>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</si>
  <si>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</si>
  <si>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</si>
  <si>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</si>
  <si>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</si>
  <si>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</si>
  <si>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</si>
  <si>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</si>
  <si>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</si>
  <si>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</si>
  <si>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</si>
  <si>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</si>
  <si>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</si>
  <si>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</si>
  <si>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</si>
  <si>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</si>
  <si>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</si>
  <si>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</si>
  <si>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</si>
  <si>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</si>
  <si>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</si>
  <si>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</si>
  <si>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</si>
  <si>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</si>
  <si>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</si>
  <si>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</si>
  <si>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</si>
  <si>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</si>
  <si>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</si>
  <si>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</si>
  <si>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</si>
  <si>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</si>
  <si>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</si>
  <si>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</si>
  <si>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</si>
  <si>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</si>
  <si>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</si>
  <si>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</si>
  <si>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</si>
  <si>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</si>
  <si>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</si>
  <si>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</si>
  <si>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</si>
  <si>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</si>
  <si>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</si>
  <si>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</si>
  <si>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</si>
  <si>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</si>
  <si>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</si>
  <si>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</si>
  <si>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</si>
  <si>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</si>
  <si>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</si>
  <si>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</si>
  <si>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</si>
  <si>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</si>
  <si>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</si>
  <si>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</si>
  <si>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</si>
  <si>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</si>
  <si>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</si>
  <si>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</si>
  <si>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</si>
  <si>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</si>
  <si>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</si>
  <si>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</si>
  <si>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</si>
  <si>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</si>
  <si>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</si>
  <si>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</si>
  <si>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</si>
  <si>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</si>
  <si>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</si>
  <si>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</si>
  <si>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</si>
  <si>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</si>
  <si>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</si>
  <si>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</si>
  <si>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</si>
  <si>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</si>
  <si>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</si>
  <si>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</si>
  <si>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</si>
  <si>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</si>
  <si>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</si>
  <si>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</si>
  <si>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</si>
  <si>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</si>
  <si>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</si>
  <si>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</si>
  <si>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</si>
  <si>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</si>
  <si>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</si>
  <si>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</si>
  <si>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</si>
  <si>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</si>
  <si>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</si>
  <si>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</si>
  <si>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</si>
  <si>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</si>
  <si>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</si>
  <si>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</si>
  <si>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</si>
  <si>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</si>
  <si>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</si>
  <si>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</si>
  <si>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</si>
  <si>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</si>
  <si>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</si>
  <si>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</si>
  <si>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</si>
  <si>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</si>
  <si>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</si>
  <si>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</si>
  <si>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</si>
  <si>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</si>
  <si>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</si>
  <si>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</si>
  <si>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</si>
  <si>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</si>
  <si>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</si>
  <si>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</si>
  <si>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</si>
  <si>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</si>
  <si>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</si>
  <si>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</si>
  <si>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</si>
  <si>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</si>
  <si>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</si>
  <si>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</si>
  <si>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</si>
  <si>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</si>
  <si>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</si>
  <si>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</si>
  <si>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</si>
  <si>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</si>
  <si>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</si>
  <si>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</si>
  <si>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</si>
  <si>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</si>
  <si>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</si>
  <si>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</si>
  <si>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</si>
  <si>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</si>
  <si>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</si>
  <si>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</si>
  <si>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</si>
  <si>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</si>
  <si>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</si>
  <si>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</si>
  <si>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</si>
  <si>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</si>
  <si>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</si>
  <si>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</si>
  <si>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</si>
  <si>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</si>
  <si>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</si>
  <si>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</si>
  <si>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</si>
  <si>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</si>
  <si>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</si>
  <si>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</si>
  <si>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</si>
  <si>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</si>
  <si>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</si>
  <si>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</si>
  <si>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</si>
  <si>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</si>
  <si>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</si>
  <si>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</si>
  <si>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</si>
  <si>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</si>
  <si>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</si>
  <si>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</si>
  <si>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</si>
  <si>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</si>
  <si>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</si>
  <si>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</si>
  <si>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</si>
  <si>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</si>
  <si>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</si>
  <si>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</si>
  <si>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</si>
  <si>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</si>
  <si>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</si>
  <si>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</si>
  <si>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</si>
  <si>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</si>
  <si>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</si>
  <si>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</si>
  <si>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</si>
  <si>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</si>
  <si>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</si>
  <si>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</si>
  <si>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</si>
  <si>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</si>
  <si>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</si>
  <si>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</si>
  <si>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</si>
  <si>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</si>
  <si>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</si>
  <si>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</si>
  <si>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</si>
  <si>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</si>
  <si>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</si>
  <si>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</si>
  <si>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</si>
  <si>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</si>
  <si>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</si>
  <si>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</si>
  <si>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</si>
  <si>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</si>
  <si>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</si>
  <si>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</si>
  <si>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</si>
  <si>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</si>
  <si>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</si>
  <si>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</si>
  <si>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</si>
  <si>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</si>
  <si>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</si>
  <si>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</si>
  <si>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</si>
  <si>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</si>
  <si>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</si>
  <si>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</si>
  <si>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</si>
  <si>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</si>
  <si>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</si>
  <si>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</si>
  <si>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</si>
  <si>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</si>
  <si>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</si>
  <si>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</si>
  <si>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</si>
  <si>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</si>
  <si>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</si>
  <si>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</si>
  <si>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</si>
  <si>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</si>
  <si>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</si>
  <si>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</si>
  <si>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</si>
  <si>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</si>
  <si>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</si>
  <si>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</si>
  <si>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</si>
  <si>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</si>
  <si>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</si>
  <si>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</si>
  <si>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</si>
  <si>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</si>
  <si>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</si>
  <si>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</si>
  <si>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</si>
  <si>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</si>
  <si>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</si>
  <si>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</si>
  <si>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</si>
  <si>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</si>
  <si>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</si>
  <si>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</si>
  <si>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</si>
  <si>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</si>
  <si>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</si>
  <si>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</si>
  <si>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</si>
  <si>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</si>
  <si>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</si>
  <si>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</si>
  <si>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</si>
  <si>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</si>
  <si>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</si>
  <si>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</si>
  <si>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</si>
  <si>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</si>
  <si>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</si>
  <si>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</si>
  <si>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</si>
  <si>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</si>
  <si>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</si>
  <si>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</si>
  <si>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</si>
  <si>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</si>
  <si>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</si>
  <si>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</si>
  <si>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</si>
  <si>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</si>
  <si>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</si>
  <si>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</si>
  <si>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</si>
  <si>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</si>
  <si>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</si>
  <si>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</si>
  <si>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</si>
  <si>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</si>
  <si>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</si>
  <si>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</si>
  <si>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</si>
  <si>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</si>
  <si>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</si>
  <si>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</si>
  <si>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</si>
  <si>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</si>
  <si>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</si>
  <si>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</si>
  <si>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</si>
  <si>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</si>
  <si>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</si>
  <si>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</si>
  <si>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</si>
  <si>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</si>
  <si>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</si>
  <si>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</si>
  <si>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</si>
  <si>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</si>
  <si>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</si>
  <si>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</si>
  <si>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</si>
  <si>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</si>
  <si>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</si>
  <si>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</si>
  <si>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</si>
  <si>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</si>
  <si>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</si>
  <si>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</si>
  <si>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</si>
  <si>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</si>
  <si>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</si>
  <si>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</si>
  <si>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</si>
  <si>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</si>
  <si>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</si>
  <si>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</si>
  <si>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</si>
  <si>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</si>
  <si>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</si>
  <si>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</si>
  <si>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</si>
  <si>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</si>
  <si>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</si>
  <si>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</si>
  <si>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</si>
  <si>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</si>
  <si>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</si>
  <si>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</si>
  <si>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</si>
  <si>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</si>
  <si>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</si>
  <si>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</si>
  <si>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</si>
  <si>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</si>
  <si>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</si>
  <si>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</si>
  <si>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</si>
  <si>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</si>
  <si>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</si>
  <si>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</si>
  <si>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</si>
  <si>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</si>
  <si>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</si>
  <si>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</si>
  <si>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</si>
  <si>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</si>
  <si>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</si>
  <si>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</si>
  <si>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</si>
  <si>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</si>
  <si>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</si>
  <si>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</si>
  <si>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</si>
  <si>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</si>
  <si>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</si>
  <si>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</si>
  <si>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</si>
  <si>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</si>
  <si>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</si>
  <si>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</si>
  <si>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</si>
  <si>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</si>
  <si>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</si>
  <si>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</si>
  <si>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</si>
  <si>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</si>
  <si>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</si>
  <si>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</si>
  <si>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</si>
  <si>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</si>
  <si>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</si>
  <si>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</si>
  <si>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</si>
  <si>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</si>
  <si>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</si>
  <si>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</si>
  <si>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</si>
  <si>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</si>
  <si>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</si>
  <si>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</si>
  <si>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</si>
  <si>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</si>
  <si>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</si>
  <si>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</si>
  <si>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</si>
  <si>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</si>
  <si>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</si>
  <si>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</si>
  <si>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</si>
  <si>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</si>
  <si>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</si>
  <si>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</si>
  <si>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</si>
  <si>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</si>
  <si>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</si>
  <si>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</si>
  <si>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</si>
  <si>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</si>
  <si>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</si>
  <si>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</si>
  <si>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</si>
  <si>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</si>
  <si>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</si>
  <si>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</si>
  <si>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</si>
  <si>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</si>
  <si>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</si>
  <si>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</si>
  <si>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</si>
  <si>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</si>
  <si>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</si>
  <si>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</si>
  <si>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</si>
  <si>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</si>
  <si>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</si>
  <si>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</si>
  <si>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</si>
  <si>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</si>
  <si>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</si>
  <si>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</si>
  <si>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</si>
  <si>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</si>
  <si>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</si>
  <si>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</si>
  <si>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</si>
  <si>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</si>
  <si>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</si>
  <si>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</si>
  <si>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</si>
  <si>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</si>
  <si>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</si>
  <si>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</si>
  <si>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</si>
  <si>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</si>
  <si>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</si>
  <si>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</si>
  <si>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</si>
  <si>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</si>
  <si>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</si>
  <si>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</si>
  <si>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</si>
  <si>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</si>
  <si>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</si>
  <si>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</si>
  <si>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</si>
  <si>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</si>
  <si>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</si>
  <si>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</si>
  <si>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</si>
  <si>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</si>
  <si>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</si>
  <si>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</si>
  <si>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</si>
  <si>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</si>
  <si>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</si>
  <si>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</si>
  <si>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</si>
  <si>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</si>
  <si>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</si>
  <si>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</si>
  <si>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</si>
  <si>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</si>
  <si>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</si>
  <si>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</si>
  <si>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</si>
  <si>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</si>
  <si>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</si>
  <si>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</si>
  <si>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</si>
  <si>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</si>
  <si>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</si>
  <si>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</si>
  <si>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</si>
  <si>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</si>
  <si>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</si>
  <si>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</si>
  <si>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</si>
  <si>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</si>
  <si>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</si>
  <si>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</si>
  <si>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</si>
  <si>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</si>
  <si>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</si>
  <si>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</si>
  <si>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</si>
  <si>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</si>
  <si>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</si>
  <si>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</si>
  <si>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</si>
  <si>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</si>
  <si>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</si>
  <si>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</si>
  <si>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</si>
  <si>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</si>
  <si>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</si>
  <si>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</si>
  <si>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</si>
  <si>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</si>
  <si>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</si>
  <si>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</si>
  <si>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</si>
  <si>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</si>
  <si>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</si>
  <si>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</si>
  <si>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</si>
  <si>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</si>
  <si>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</si>
  <si>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</si>
  <si>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</si>
  <si>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</si>
  <si>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</si>
  <si>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</si>
  <si>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</si>
  <si>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</si>
  <si>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</si>
  <si>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</si>
  <si>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</si>
  <si>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</si>
  <si>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</si>
  <si>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</si>
  <si>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</si>
  <si>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</si>
  <si>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</si>
  <si>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</si>
  <si>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</si>
  <si>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</si>
  <si>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</si>
  <si>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</si>
  <si>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</si>
  <si>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</si>
  <si>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</si>
  <si>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</si>
  <si>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</si>
  <si>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</si>
  <si>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</si>
  <si>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</si>
  <si>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</si>
  <si>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</si>
  <si>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</si>
  <si>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</si>
  <si>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</si>
  <si>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</si>
  <si>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</si>
  <si>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</si>
  <si>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</si>
  <si>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</si>
  <si>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</si>
  <si>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</si>
  <si>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</si>
  <si>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</si>
  <si>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</si>
  <si>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</si>
  <si>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</si>
  <si>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</si>
  <si>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</si>
  <si>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</si>
  <si>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</si>
  <si>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</si>
  <si>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</si>
  <si>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</si>
  <si>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</si>
  <si>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</si>
  <si>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</si>
  <si>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</si>
  <si>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</si>
  <si>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</si>
  <si>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</si>
  <si>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</si>
  <si>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</si>
  <si>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</si>
  <si>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</si>
  <si>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</si>
  <si>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</si>
  <si>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</si>
  <si>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</si>
  <si>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</si>
  <si>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</si>
  <si>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</si>
  <si>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</si>
  <si>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</si>
  <si>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</si>
  <si>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</si>
  <si>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</si>
  <si>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</si>
  <si>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</si>
  <si>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</si>
  <si>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</si>
  <si>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</si>
  <si>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</si>
  <si>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</si>
  <si>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</si>
  <si>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</si>
  <si>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</si>
  <si>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</si>
  <si>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</si>
  <si>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</si>
  <si>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</si>
  <si>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</si>
  <si>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</si>
  <si>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</si>
  <si>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</si>
  <si>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</si>
  <si>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</si>
  <si>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</si>
  <si>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</si>
  <si>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</si>
  <si>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</si>
  <si>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</si>
  <si>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</si>
  <si>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</si>
  <si>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</si>
  <si>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</si>
  <si>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</si>
  <si>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</si>
  <si>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</si>
  <si>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</si>
  <si>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</si>
  <si>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</si>
  <si>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</si>
  <si>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</si>
  <si>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</si>
  <si>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</si>
  <si>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</si>
  <si>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</si>
  <si>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</si>
  <si>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</si>
  <si>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</si>
  <si>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</si>
  <si>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</si>
  <si>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</si>
  <si>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</si>
  <si>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</si>
  <si>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</si>
  <si>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</si>
  <si>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</si>
  <si>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</si>
  <si>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</si>
  <si>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</si>
  <si>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</si>
  <si>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</si>
  <si>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</si>
  <si>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</si>
  <si>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</si>
  <si>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</si>
  <si>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</si>
  <si>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</si>
  <si>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</si>
  <si>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</si>
  <si>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</si>
  <si>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</si>
  <si>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</si>
  <si>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</si>
  <si>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</si>
  <si>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</si>
  <si>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</si>
  <si>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</si>
  <si>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</si>
  <si>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</si>
  <si>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</si>
  <si>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</si>
  <si>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</si>
  <si>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</si>
  <si>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</si>
  <si>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</si>
  <si>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</si>
  <si>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</si>
  <si>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</si>
  <si>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</si>
  <si>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</si>
  <si>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</si>
  <si>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</si>
  <si>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</si>
  <si>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</si>
  <si>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</si>
  <si>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</si>
  <si>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</si>
  <si>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</si>
  <si>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</si>
  <si>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</si>
  <si>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</si>
  <si>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</si>
  <si>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</si>
  <si>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</si>
  <si>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</si>
  <si>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</si>
  <si>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</si>
  <si>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</si>
  <si>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</si>
  <si>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</si>
  <si>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</si>
  <si>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</si>
  <si>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</si>
  <si>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</si>
  <si>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</si>
  <si>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</si>
  <si>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</si>
  <si>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</si>
  <si>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</si>
  <si>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</si>
  <si>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</si>
  <si>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</si>
  <si>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</si>
  <si>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</si>
  <si>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</si>
  <si>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</si>
  <si>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</si>
  <si>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</si>
  <si>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</si>
  <si>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</si>
  <si>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</si>
  <si>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</si>
  <si>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</si>
  <si>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</si>
  <si>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</si>
  <si>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</si>
  <si>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</si>
  <si>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</si>
  <si>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</si>
  <si>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</si>
  <si>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</si>
  <si>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</si>
  <si>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</si>
  <si>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</si>
  <si>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</si>
  <si>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</si>
  <si>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</si>
  <si>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</si>
  <si>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</si>
  <si>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</si>
  <si>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</si>
  <si>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</si>
  <si>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</si>
  <si>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</si>
  <si>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</si>
  <si>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</si>
  <si>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</si>
  <si>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</si>
  <si>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</si>
  <si>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</si>
  <si>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</si>
  <si>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</si>
  <si>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</si>
  <si>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</si>
  <si>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</si>
  <si>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</si>
  <si>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</si>
  <si>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</si>
  <si>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</si>
  <si>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</si>
  <si>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</si>
  <si>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</si>
  <si>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</si>
  <si>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</si>
  <si>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</si>
  <si>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</si>
  <si>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</si>
  <si>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</si>
  <si>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</si>
  <si>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</si>
  <si>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</si>
  <si>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</si>
  <si>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</si>
  <si>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</si>
  <si>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</si>
  <si>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</si>
  <si>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</si>
  <si>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</si>
  <si>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</si>
  <si>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</si>
  <si>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</si>
  <si>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</si>
  <si>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</si>
  <si>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</si>
  <si>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</si>
  <si>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</si>
  <si>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</si>
  <si>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</si>
  <si>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</si>
  <si>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</si>
  <si>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</si>
  <si>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</si>
  <si>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</si>
  <si>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</si>
  <si>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</si>
  <si>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</si>
  <si>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</si>
  <si>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</si>
  <si>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</si>
  <si>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</si>
  <si>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</si>
  <si>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</si>
  <si>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</si>
  <si>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</si>
  <si>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</si>
  <si>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</si>
  <si>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</si>
  <si>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</si>
  <si>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</si>
  <si>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</si>
  <si>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</si>
  <si>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</si>
  <si>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</si>
  <si>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</si>
  <si>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</si>
  <si>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</si>
  <si>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</si>
  <si>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</si>
  <si>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</si>
  <si>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</si>
  <si>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</si>
  <si>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</si>
  <si>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</si>
  <si>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</si>
  <si>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</si>
  <si>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</si>
  <si>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</si>
  <si>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</si>
  <si>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</si>
  <si>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</si>
  <si>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</si>
  <si>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</si>
  <si>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</si>
  <si>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</si>
  <si>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</si>
  <si>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</si>
  <si>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</si>
  <si>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</si>
  <si>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</si>
  <si>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</si>
  <si>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</si>
  <si>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</si>
  <si>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</si>
  <si>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</si>
  <si>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</si>
  <si>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</si>
  <si>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</si>
  <si>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</si>
  <si>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</si>
  <si>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</si>
  <si>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</si>
  <si>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</si>
  <si>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</si>
  <si>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</si>
  <si>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</si>
  <si>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</si>
  <si>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</si>
  <si>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</si>
  <si>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</si>
  <si>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</si>
  <si>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</si>
  <si>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</si>
  <si>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</si>
  <si>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</si>
  <si>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</si>
  <si>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</si>
  <si>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</si>
  <si>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</si>
  <si>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</si>
  <si>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</si>
  <si>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</si>
  <si>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</si>
  <si>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</si>
  <si>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</si>
  <si>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</si>
  <si>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</si>
  <si>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</si>
  <si>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</si>
  <si>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</si>
  <si>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</si>
  <si>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</si>
  <si>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</si>
  <si>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</si>
  <si>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</si>
  <si>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</si>
  <si>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</si>
  <si>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</si>
  <si>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</si>
  <si>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</si>
  <si>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</si>
  <si>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</si>
  <si>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</si>
  <si>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</si>
  <si>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</si>
  <si>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</si>
  <si>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</si>
  <si>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</si>
  <si>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</si>
  <si>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</si>
  <si>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</si>
  <si>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</si>
  <si>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</si>
  <si>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</si>
  <si>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</si>
  <si>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</si>
  <si>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</si>
  <si>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</si>
  <si>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</si>
  <si>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</si>
  <si>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</si>
  <si>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</si>
  <si>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</si>
  <si>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</si>
  <si>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</si>
  <si>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</si>
  <si>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</si>
  <si>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</si>
  <si>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</si>
  <si>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</si>
  <si>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</si>
  <si>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</si>
  <si>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</si>
  <si>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</si>
  <si>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</si>
  <si>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</si>
  <si>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</si>
  <si>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</si>
  <si>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</si>
  <si>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</si>
  <si>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</si>
  <si>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</si>
  <si>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</si>
  <si>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</si>
  <si>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</si>
  <si>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</si>
  <si>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</si>
  <si>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</si>
  <si>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</si>
  <si>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</si>
  <si>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</si>
  <si>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</si>
  <si>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</si>
  <si>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</si>
  <si>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</si>
  <si>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</si>
  <si>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</si>
  <si>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</si>
  <si>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</si>
  <si>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</si>
  <si>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</si>
  <si>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</si>
  <si>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</si>
  <si>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</si>
  <si>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</si>
  <si>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</si>
  <si>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</si>
  <si>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</si>
  <si>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</si>
  <si>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</si>
  <si>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</si>
  <si>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</si>
  <si>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</si>
  <si>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</si>
  <si>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</si>
  <si>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</si>
  <si>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</si>
  <si>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</si>
  <si>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</si>
  <si>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</si>
  <si>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</si>
  <si>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</si>
  <si>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</si>
  <si>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</si>
  <si>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</si>
  <si>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</si>
  <si>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</si>
  <si>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</si>
  <si>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</si>
  <si>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</si>
  <si>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</si>
  <si>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</si>
  <si>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</si>
  <si>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</si>
  <si>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</si>
  <si>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</si>
  <si>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</si>
  <si>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</si>
  <si>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</si>
  <si>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</si>
  <si>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</si>
  <si>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</si>
  <si>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</si>
  <si>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</si>
  <si>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</si>
  <si>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</si>
  <si>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</si>
  <si>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</si>
  <si>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</si>
  <si>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</si>
  <si>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</si>
  <si>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</si>
  <si>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</si>
  <si>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</si>
  <si>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</si>
  <si>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</si>
  <si>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</si>
  <si>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</si>
  <si>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</si>
  <si>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</si>
  <si>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</si>
  <si>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</si>
  <si>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</si>
  <si>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</si>
  <si>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</si>
  <si>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</si>
  <si>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</si>
  <si>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</si>
  <si>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</si>
  <si>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</si>
  <si>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</si>
  <si>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</si>
  <si>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</si>
  <si>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</si>
  <si>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</si>
  <si>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</si>
  <si>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</si>
  <si>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</si>
  <si>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</si>
  <si>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</si>
  <si>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</si>
  <si>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</si>
  <si>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</si>
  <si>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</si>
  <si>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</si>
  <si>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</si>
  <si>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</si>
  <si>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</si>
  <si>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</si>
  <si>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</si>
  <si>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</si>
  <si>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</si>
  <si>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</si>
  <si>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</si>
  <si>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</si>
  <si>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</si>
  <si>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</si>
  <si>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</si>
  <si>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</si>
  <si>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</si>
  <si>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</si>
  <si>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</si>
  <si>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</si>
  <si>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</si>
  <si>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</si>
  <si>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</si>
  <si>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</si>
  <si>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</si>
  <si>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</si>
  <si>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</si>
  <si>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</si>
  <si>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</si>
  <si>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</si>
  <si>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</si>
  <si>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</si>
  <si>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</si>
  <si>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</si>
  <si>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</si>
  <si>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</si>
  <si>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</si>
  <si>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</si>
  <si>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</si>
  <si>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</si>
  <si>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</si>
  <si>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</si>
  <si>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</si>
  <si>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</si>
  <si>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</si>
  <si>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</si>
  <si>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</si>
  <si>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</si>
  <si>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</si>
  <si>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</si>
  <si>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</si>
  <si>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</si>
  <si>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</si>
  <si>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</si>
  <si>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</si>
  <si>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</si>
  <si>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</si>
  <si>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</si>
  <si>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</si>
  <si>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</si>
  <si>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</si>
  <si>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</si>
  <si>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</si>
  <si>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</si>
  <si>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</si>
  <si>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</si>
  <si>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</si>
  <si>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</si>
  <si>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</si>
  <si>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</si>
  <si>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</si>
  <si>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</si>
  <si>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</si>
  <si>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</si>
  <si>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Pemasangan APP </t>
  </si>
  <si>
    <t>KONSTRUKSI JTR 3 PHASE</t>
  </si>
  <si>
    <t>CJ5-T</t>
  </si>
  <si>
    <t>CJ6-T</t>
  </si>
  <si>
    <t>CONDUKTOR</t>
  </si>
  <si>
    <t>CE1-3</t>
  </si>
  <si>
    <t>F1-3</t>
  </si>
  <si>
    <t>CM2-12A</t>
  </si>
  <si>
    <t>SCHOOR</t>
  </si>
  <si>
    <t>PLN</t>
  </si>
  <si>
    <t>MJ6-T</t>
  </si>
  <si>
    <t>KOORDINAT : -6.900337, 110.629091</t>
  </si>
  <si>
    <t>DS BOGORAME KEC DEMAK</t>
  </si>
  <si>
    <t>Daya 1.300 VA</t>
  </si>
  <si>
    <t>Pemasangan APP 1 Fasa Di Bangunan</t>
  </si>
  <si>
    <t>R3T</t>
  </si>
  <si>
    <t>Demak, 11 Januari 2024</t>
  </si>
  <si>
    <t>PLH MANAGER ULP</t>
  </si>
  <si>
    <t>NUGROHO UKI P</t>
  </si>
  <si>
    <t>KOS ERNA TRI PUJIASTUTI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</si>
</sst>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6" fillId="0" borderId="0"/>
    <xf numFmtId="41" fontId="22" fillId="0" borderId="0" applyFont="0" applyFill="0" applyBorder="0" applyAlignment="0" applyProtection="0"/>
    <xf numFmtId="0" fontId="6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6" fillId="0" borderId="0"/>
    <xf numFmtId="0" fontId="16" fillId="0" borderId="0"/>
    <xf numFmtId="0" fontId="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43" fontId="22" fillId="0" borderId="0" applyFont="0" applyFill="0" applyBorder="0" applyAlignment="0" applyProtection="0"/>
  </cellStyleXfs>
  <cellXfs count="717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167" fontId="142" fillId="40" borderId="85" xfId="2672" applyFont="1" applyFill="1" applyBorder="1" applyAlignment="1" applyProtection="1">
      <alignment horizontal="right" vertical="center" wrapText="1"/>
      <protection locked="0"/>
    </xf>
    <xf numFmtId="167" fontId="142" fillId="40" borderId="87" xfId="2672" applyFont="1" applyFill="1" applyBorder="1" applyAlignment="1" applyProtection="1">
      <alignment horizontal="right" vertical="center"/>
      <protection locked="0"/>
    </xf>
    <xf numFmtId="169" fontId="142" fillId="40" borderId="87" xfId="2672" applyNumberFormat="1" applyFont="1" applyFill="1" applyBorder="1" applyAlignment="1" applyProtection="1">
      <alignment horizontal="right" vertical="center"/>
      <protection locked="0"/>
    </xf>
    <xf numFmtId="169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15" fillId="0" borderId="21" xfId="1652" applyFont="1" applyBorder="1" applyAlignment="1">
      <alignment vertical="center"/>
    </xf>
    <xf numFmtId="0" fontId="45" fillId="0" borderId="21" xfId="1450" applyFont="1" applyBorder="1" applyAlignment="1">
      <alignment vertical="center" wrapText="1"/>
    </xf>
    <xf numFmtId="0" fontId="5" fillId="0" borderId="20" xfId="1652" applyFont="1" applyBorder="1" applyAlignment="1">
      <alignment horizontal="center" vertical="center"/>
    </xf>
    <xf numFmtId="0" fontId="129" fillId="48" borderId="21" xfId="1652" applyFont="1" applyFill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3" fontId="115" fillId="0" borderId="21" xfId="1451" applyNumberFormat="1" applyFont="1" applyBorder="1" applyAlignment="1">
      <alignment horizontal="center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8" fontId="176" fillId="0" borderId="73" xfId="1450" applyNumberFormat="1" applyFont="1" applyBorder="1" applyAlignment="1">
      <alignment horizontal="left" vertical="center"/>
    </xf>
    <xf numFmtId="208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0.33800000000000002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0.96094178803921293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6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6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56029</xdr:colOff>
      <xdr:row>37</xdr:row>
      <xdr:rowOff>112059</xdr:rowOff>
    </xdr:from>
    <xdr:to>
      <xdr:col>19</xdr:col>
      <xdr:colOff>351266</xdr:colOff>
      <xdr:row>39</xdr:row>
      <xdr:rowOff>136874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1BBFA5-168D-496E-A3CF-D6722EB0B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84941" y="8919883"/>
          <a:ext cx="295237" cy="5178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56030</xdr:colOff>
      <xdr:row>104</xdr:row>
      <xdr:rowOff>33618</xdr:rowOff>
    </xdr:from>
    <xdr:to>
      <xdr:col>10</xdr:col>
      <xdr:colOff>351267</xdr:colOff>
      <xdr:row>106</xdr:row>
      <xdr:rowOff>170491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E1A209-2F66-419D-8514-02BE1A537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1412" y="19991294"/>
          <a:ext cx="295237" cy="5178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280174</xdr:colOff>
      <xdr:row>12</xdr:row>
      <xdr:rowOff>157658</xdr:rowOff>
    </xdr:from>
    <xdr:to>
      <xdr:col>11</xdr:col>
      <xdr:colOff>137947</xdr:colOff>
      <xdr:row>27</xdr:row>
      <xdr:rowOff>144518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6DD752-9D28-477B-B08C-EE2BFBC6313A}"/>
            </a:ext>
          </a:extLst>
        </xdr:cNvPr>
        <xdr:cNvSpPr/>
      </xdr:nvSpPr>
      <xdr:spPr>
        <a:xfrm rot="5400000">
          <a:off x="2623156" y="3010727"/>
          <a:ext cx="2266291" cy="238773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81863" y="815588"/>
          <a:ext cx="1486253" cy="1826738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6</xdr:col>
      <xdr:colOff>100156</xdr:colOff>
      <xdr:row>27</xdr:row>
      <xdr:rowOff>85398</xdr:rowOff>
    </xdr:from>
    <xdr:to>
      <xdr:col>15</xdr:col>
      <xdr:colOff>269328</xdr:colOff>
      <xdr:row>29</xdr:row>
      <xdr:rowOff>9529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28A9F3E-BF1B-718F-9D98-87395CDA3389}"/>
            </a:ext>
          </a:extLst>
        </xdr:cNvPr>
        <xdr:cNvSpPr/>
      </xdr:nvSpPr>
      <xdr:spPr>
        <a:xfrm>
          <a:off x="1932897" y="4204139"/>
          <a:ext cx="3598172" cy="226304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11</xdr:col>
      <xdr:colOff>221684</xdr:colOff>
      <xdr:row>22</xdr:row>
      <xdr:rowOff>35705</xdr:rowOff>
    </xdr:from>
    <xdr:to>
      <xdr:col>11</xdr:col>
      <xdr:colOff>337853</xdr:colOff>
      <xdr:row>22</xdr:row>
      <xdr:rowOff>148314</xdr:rowOff>
    </xdr:to>
    <xdr:grpSp>
      <xdr:nvGrpSpPr>
        <xdr:cNvPr id="35" name="Group 682">
          <a:extLst>
            <a:ext uri="{FF2B5EF4-FFF2-40B4-BE49-F238E27FC236}">
              <a16:creationId xmlns:a16="http://schemas.microsoft.com/office/drawing/2014/main" id="{CB13C64E-0779-09C3-F990-3BEFEAEECFC8}"/>
            </a:ext>
          </a:extLst>
        </xdr:cNvPr>
        <xdr:cNvGrpSpPr>
          <a:grpSpLocks/>
        </xdr:cNvGrpSpPr>
      </xdr:nvGrpSpPr>
      <xdr:grpSpPr bwMode="auto">
        <a:xfrm>
          <a:off x="3958415" y="3442724"/>
          <a:ext cx="116169" cy="112609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5" name="Oval 214">
            <a:extLst>
              <a:ext uri="{FF2B5EF4-FFF2-40B4-BE49-F238E27FC236}">
                <a16:creationId xmlns:a16="http://schemas.microsoft.com/office/drawing/2014/main" id="{DB437624-1297-DAEE-95AB-DB731DCFD90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0309F8A8-AF8A-62D5-A494-2F270AEBD75A}"/>
              </a:ext>
            </a:extLst>
          </xdr:cNvPr>
          <xdr:cNvCxnSpPr>
            <a:stCxn id="215" idx="1"/>
            <a:endCxn id="21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0DF2F23C-9DC7-0D2B-70A9-DBBBC494833C}"/>
              </a:ext>
            </a:extLst>
          </xdr:cNvPr>
          <xdr:cNvCxnSpPr>
            <a:stCxn id="215" idx="3"/>
            <a:endCxn id="21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215304</xdr:colOff>
      <xdr:row>22</xdr:row>
      <xdr:rowOff>131823</xdr:rowOff>
    </xdr:from>
    <xdr:to>
      <xdr:col>11</xdr:col>
      <xdr:colOff>238697</xdr:colOff>
      <xdr:row>26</xdr:row>
      <xdr:rowOff>64443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56DF890-43EA-6A00-2462-D303AEACC369}"/>
            </a:ext>
          </a:extLst>
        </xdr:cNvPr>
        <xdr:cNvCxnSpPr>
          <a:stCxn id="215" idx="3"/>
          <a:endCxn id="243" idx="7"/>
        </xdr:cNvCxnSpPr>
      </xdr:nvCxnSpPr>
      <xdr:spPr>
        <a:xfrm flipH="1">
          <a:off x="3572045" y="3495133"/>
          <a:ext cx="404393" cy="5369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375407</xdr:colOff>
      <xdr:row>24</xdr:row>
      <xdr:rowOff>1369</xdr:rowOff>
    </xdr:from>
    <xdr:to>
      <xdr:col>11</xdr:col>
      <xdr:colOff>134604</xdr:colOff>
      <xdr:row>24</xdr:row>
      <xdr:rowOff>100897</xdr:rowOff>
    </xdr:to>
    <xdr:grpSp>
      <xdr:nvGrpSpPr>
        <xdr:cNvPr id="85" name="Group 18">
          <a:extLst>
            <a:ext uri="{FF2B5EF4-FFF2-40B4-BE49-F238E27FC236}">
              <a16:creationId xmlns:a16="http://schemas.microsoft.com/office/drawing/2014/main" id="{C54E5AC1-D7C6-0176-8F47-9993BF194E2B}"/>
            </a:ext>
          </a:extLst>
        </xdr:cNvPr>
        <xdr:cNvGrpSpPr>
          <a:grpSpLocks/>
        </xdr:cNvGrpSpPr>
      </xdr:nvGrpSpPr>
      <xdr:grpSpPr bwMode="auto">
        <a:xfrm rot="19073236">
          <a:off x="3731138" y="3716119"/>
          <a:ext cx="140197" cy="99528"/>
          <a:chOff x="12269933" y="1884219"/>
          <a:chExt cx="148768" cy="97327"/>
        </a:xfrm>
      </xdr:grpSpPr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0A55F445-7AA9-0900-C30E-CEA6A65A0786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3E61F36C-7413-62F7-2472-7249DECC9873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9E03EDCF-ED60-85FF-4157-F77CCFCEC537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32846</xdr:colOff>
      <xdr:row>11</xdr:row>
      <xdr:rowOff>39414</xdr:rowOff>
    </xdr:from>
    <xdr:to>
      <xdr:col>10</xdr:col>
      <xdr:colOff>157656</xdr:colOff>
      <xdr:row>14</xdr:row>
      <xdr:rowOff>85395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FCF50539-ACED-0A72-823A-501ACB10A4B6}"/>
            </a:ext>
          </a:extLst>
        </xdr:cNvPr>
        <xdr:cNvSpPr txBox="1"/>
      </xdr:nvSpPr>
      <xdr:spPr>
        <a:xfrm>
          <a:off x="2246587" y="1727638"/>
          <a:ext cx="1267810" cy="51237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KOS ERNA</a:t>
          </a:r>
        </a:p>
      </xdr:txBody>
    </xdr:sp>
    <xdr:clientData/>
  </xdr:twoCellAnchor>
  <xdr:twoCellAnchor>
    <xdr:from>
      <xdr:col>10</xdr:col>
      <xdr:colOff>116148</xdr:colOff>
      <xdr:row>26</xdr:row>
      <xdr:rowOff>48734</xdr:rowOff>
    </xdr:from>
    <xdr:to>
      <xdr:col>10</xdr:col>
      <xdr:colOff>232317</xdr:colOff>
      <xdr:row>27</xdr:row>
      <xdr:rowOff>4919</xdr:rowOff>
    </xdr:to>
    <xdr:grpSp>
      <xdr:nvGrpSpPr>
        <xdr:cNvPr id="242" name="Group 682">
          <a:extLst>
            <a:ext uri="{FF2B5EF4-FFF2-40B4-BE49-F238E27FC236}">
              <a16:creationId xmlns:a16="http://schemas.microsoft.com/office/drawing/2014/main" id="{4BB152CD-FAE2-4B33-9714-E70C8904923B}"/>
            </a:ext>
          </a:extLst>
        </xdr:cNvPr>
        <xdr:cNvGrpSpPr>
          <a:grpSpLocks/>
        </xdr:cNvGrpSpPr>
      </xdr:nvGrpSpPr>
      <xdr:grpSpPr bwMode="auto">
        <a:xfrm>
          <a:off x="3471879" y="4071215"/>
          <a:ext cx="116169" cy="1100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43" name="Oval 242">
            <a:extLst>
              <a:ext uri="{FF2B5EF4-FFF2-40B4-BE49-F238E27FC236}">
                <a16:creationId xmlns:a16="http://schemas.microsoft.com/office/drawing/2014/main" id="{B9513B1B-D244-02C5-2DE4-52E70B9B42F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5FA289B9-6095-F186-CC91-FBA638A43E44}"/>
              </a:ext>
            </a:extLst>
          </xdr:cNvPr>
          <xdr:cNvCxnSpPr>
            <a:stCxn id="243" idx="1"/>
            <a:endCxn id="24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79BE7467-F83C-A0F9-8F8A-ED58D8A02D7A}"/>
              </a:ext>
            </a:extLst>
          </xdr:cNvPr>
          <xdr:cNvCxnSpPr>
            <a:stCxn id="243" idx="3"/>
            <a:endCxn id="24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374431</xdr:colOff>
      <xdr:row>21</xdr:row>
      <xdr:rowOff>111878</xdr:rowOff>
    </xdr:from>
    <xdr:to>
      <xdr:col>13</xdr:col>
      <xdr:colOff>52963</xdr:colOff>
      <xdr:row>23</xdr:row>
      <xdr:rowOff>82111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FDE078F8-FB92-42C2-923D-9C044C66B583}"/>
            </a:ext>
          </a:extLst>
        </xdr:cNvPr>
        <xdr:cNvSpPr txBox="1"/>
      </xdr:nvSpPr>
      <xdr:spPr>
        <a:xfrm>
          <a:off x="4112172" y="3324102"/>
          <a:ext cx="440532" cy="27240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CJ5-T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155396</xdr:colOff>
      <xdr:row>27</xdr:row>
      <xdr:rowOff>56863</xdr:rowOff>
    </xdr:from>
    <xdr:to>
      <xdr:col>10</xdr:col>
      <xdr:colOff>249622</xdr:colOff>
      <xdr:row>29</xdr:row>
      <xdr:rowOff>91965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05936502-F58F-4471-B73F-733D32F24BB3}"/>
            </a:ext>
          </a:extLst>
        </xdr:cNvPr>
        <xdr:cNvSpPr txBox="1"/>
      </xdr:nvSpPr>
      <xdr:spPr>
        <a:xfrm>
          <a:off x="3131137" y="4175604"/>
          <a:ext cx="475226" cy="337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chemeClr val="tx1"/>
              </a:solidFill>
            </a:rPr>
            <a:t>1</a:t>
          </a:r>
          <a:r>
            <a:rPr lang="en-US" sz="500" b="1" u="none" baseline="0">
              <a:solidFill>
                <a:schemeClr val="tx1"/>
              </a:solidFill>
            </a:rPr>
            <a:t> C12-200</a:t>
          </a:r>
        </a:p>
        <a:p>
          <a:pPr algn="ctr"/>
          <a:r>
            <a:rPr lang="en-US" sz="500" b="1" u="none" baseline="0">
              <a:solidFill>
                <a:schemeClr val="tx1"/>
              </a:solidFill>
            </a:rPr>
            <a:t>1 CJ6-T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11</xdr:col>
      <xdr:colOff>262759</xdr:colOff>
      <xdr:row>12</xdr:row>
      <xdr:rowOff>39414</xdr:rowOff>
    </xdr:from>
    <xdr:to>
      <xdr:col>11</xdr:col>
      <xdr:colOff>268292</xdr:colOff>
      <xdr:row>14</xdr:row>
      <xdr:rowOff>59121</xdr:rowOff>
    </xdr:to>
    <xdr:cxnSp macro="">
      <xdr:nvCxnSpPr>
        <xdr:cNvPr id="351" name="Straight Arrow Connector 350">
          <a:extLst>
            <a:ext uri="{FF2B5EF4-FFF2-40B4-BE49-F238E27FC236}">
              <a16:creationId xmlns:a16="http://schemas.microsoft.com/office/drawing/2014/main" id="{805F484A-6DF3-4DDA-B9F1-D19ACFEE6EB2}"/>
            </a:ext>
          </a:extLst>
        </xdr:cNvPr>
        <xdr:cNvCxnSpPr>
          <a:stCxn id="5" idx="0"/>
        </xdr:cNvCxnSpPr>
      </xdr:nvCxnSpPr>
      <xdr:spPr>
        <a:xfrm flipH="1" flipV="1">
          <a:off x="4000500" y="1878724"/>
          <a:ext cx="5533" cy="3350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6569</xdr:colOff>
      <xdr:row>12</xdr:row>
      <xdr:rowOff>164224</xdr:rowOff>
    </xdr:from>
    <xdr:to>
      <xdr:col>13</xdr:col>
      <xdr:colOff>111673</xdr:colOff>
      <xdr:row>16</xdr:row>
      <xdr:rowOff>85396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0958CF7-F360-42AB-9AAB-5133074E74F7}"/>
            </a:ext>
          </a:extLst>
        </xdr:cNvPr>
        <xdr:cNvSpPr txBox="1"/>
      </xdr:nvSpPr>
      <xdr:spPr>
        <a:xfrm>
          <a:off x="4125310" y="2003534"/>
          <a:ext cx="486104" cy="53865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MJ6-T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CE1-3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F1-3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CM2-12A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210207</xdr:colOff>
      <xdr:row>14</xdr:row>
      <xdr:rowOff>59121</xdr:rowOff>
    </xdr:from>
    <xdr:to>
      <xdr:col>11</xdr:col>
      <xdr:colOff>326376</xdr:colOff>
      <xdr:row>15</xdr:row>
      <xdr:rowOff>20644</xdr:rowOff>
    </xdr:to>
    <xdr:grpSp>
      <xdr:nvGrpSpPr>
        <xdr:cNvPr id="3" name="Group 682">
          <a:extLst>
            <a:ext uri="{FF2B5EF4-FFF2-40B4-BE49-F238E27FC236}">
              <a16:creationId xmlns:a16="http://schemas.microsoft.com/office/drawing/2014/main" id="{0A5BD37C-5CCF-4AE2-A4AB-A2A6FD78BBFD}"/>
            </a:ext>
          </a:extLst>
        </xdr:cNvPr>
        <xdr:cNvGrpSpPr>
          <a:grpSpLocks/>
        </xdr:cNvGrpSpPr>
      </xdr:nvGrpSpPr>
      <xdr:grpSpPr bwMode="auto">
        <a:xfrm>
          <a:off x="3946938" y="2235217"/>
          <a:ext cx="116169" cy="115389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2CF37E26-E023-E6D0-2BE1-358DD8E5931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D5279A18-93D5-4AF6-E558-72E6FEFD8434}"/>
              </a:ext>
            </a:extLst>
          </xdr:cNvPr>
          <xdr:cNvCxnSpPr>
            <a:stCxn id="5" idx="1"/>
            <a:endCxn id="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6AA2744D-1874-3A17-6A7C-42256EA22989}"/>
              </a:ext>
            </a:extLst>
          </xdr:cNvPr>
          <xdr:cNvCxnSpPr>
            <a:stCxn id="5" idx="3"/>
            <a:endCxn id="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268292</xdr:colOff>
      <xdr:row>15</xdr:row>
      <xdr:rowOff>20644</xdr:rowOff>
    </xdr:from>
    <xdr:to>
      <xdr:col>11</xdr:col>
      <xdr:colOff>279769</xdr:colOff>
      <xdr:row>22</xdr:row>
      <xdr:rowOff>35705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25B47F6A-F778-449E-911A-B7D9163F70AA}"/>
            </a:ext>
          </a:extLst>
        </xdr:cNvPr>
        <xdr:cNvCxnSpPr>
          <a:stCxn id="5" idx="4"/>
          <a:endCxn id="215" idx="0"/>
        </xdr:cNvCxnSpPr>
      </xdr:nvCxnSpPr>
      <xdr:spPr>
        <a:xfrm>
          <a:off x="4006033" y="2326351"/>
          <a:ext cx="11477" cy="107266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124810</xdr:colOff>
      <xdr:row>26</xdr:row>
      <xdr:rowOff>98535</xdr:rowOff>
    </xdr:from>
    <xdr:to>
      <xdr:col>10</xdr:col>
      <xdr:colOff>118241</xdr:colOff>
      <xdr:row>26</xdr:row>
      <xdr:rowOff>103414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D969BCDA-6B04-4866-9E0B-6E81458AF886}"/>
            </a:ext>
          </a:extLst>
        </xdr:cNvPr>
        <xdr:cNvCxnSpPr/>
      </xdr:nvCxnSpPr>
      <xdr:spPr>
        <a:xfrm flipH="1">
          <a:off x="3100551" y="4066190"/>
          <a:ext cx="374431" cy="4879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243680</xdr:colOff>
      <xdr:row>17</xdr:row>
      <xdr:rowOff>51925</xdr:rowOff>
    </xdr:from>
    <xdr:to>
      <xdr:col>11</xdr:col>
      <xdr:colOff>343208</xdr:colOff>
      <xdr:row>18</xdr:row>
      <xdr:rowOff>41035</xdr:rowOff>
    </xdr:to>
    <xdr:grpSp>
      <xdr:nvGrpSpPr>
        <xdr:cNvPr id="29" name="Group 18">
          <a:extLst>
            <a:ext uri="{FF2B5EF4-FFF2-40B4-BE49-F238E27FC236}">
              <a16:creationId xmlns:a16="http://schemas.microsoft.com/office/drawing/2014/main" id="{EFF216C3-C598-4234-9FFD-AF2975B4E017}"/>
            </a:ext>
          </a:extLst>
        </xdr:cNvPr>
        <xdr:cNvGrpSpPr>
          <a:grpSpLocks/>
        </xdr:cNvGrpSpPr>
      </xdr:nvGrpSpPr>
      <xdr:grpSpPr bwMode="auto">
        <a:xfrm rot="4968635">
          <a:off x="3958687" y="2711341"/>
          <a:ext cx="142976" cy="99528"/>
          <a:chOff x="12269933" y="1884219"/>
          <a:chExt cx="148768" cy="97327"/>
        </a:xfrm>
      </xdr:grpSpPr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563F6E49-5560-C919-FA73-C4E6AB2DDA8A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676A8486-8474-B6A2-8F6A-7A9138513A93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9C29D6AA-DE88-37BD-81C0-1460E0DFC6A7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197827</xdr:colOff>
      <xdr:row>50</xdr:row>
      <xdr:rowOff>227135</xdr:rowOff>
    </xdr:from>
    <xdr:to>
      <xdr:col>27</xdr:col>
      <xdr:colOff>274027</xdr:colOff>
      <xdr:row>52</xdr:row>
      <xdr:rowOff>62789</xdr:rowOff>
    </xdr:to>
    <xdr:sp macro="" textlink="">
      <xdr:nvSpPr>
        <xdr:cNvPr id="96" name="Freeform: Shape 95">
          <a:extLst>
            <a:ext uri="{FF2B5EF4-FFF2-40B4-BE49-F238E27FC236}">
              <a16:creationId xmlns:a16="http://schemas.microsoft.com/office/drawing/2014/main" id="{AE50B336-821C-4F7D-B43B-BACEE1E2FA6E}"/>
            </a:ext>
          </a:extLst>
        </xdr:cNvPr>
        <xdr:cNvSpPr/>
      </xdr:nvSpPr>
      <xdr:spPr>
        <a:xfrm>
          <a:off x="10125808" y="7957039"/>
          <a:ext cx="76200" cy="238635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43962</xdr:colOff>
      <xdr:row>51</xdr:row>
      <xdr:rowOff>117231</xdr:rowOff>
    </xdr:from>
    <xdr:to>
      <xdr:col>28</xdr:col>
      <xdr:colOff>101112</xdr:colOff>
      <xdr:row>52</xdr:row>
      <xdr:rowOff>133241</xdr:rowOff>
    </xdr:to>
    <xdr:sp macro="" textlink="">
      <xdr:nvSpPr>
        <xdr:cNvPr id="97" name="Freeform: Shape 96">
          <a:extLst>
            <a:ext uri="{FF2B5EF4-FFF2-40B4-BE49-F238E27FC236}">
              <a16:creationId xmlns:a16="http://schemas.microsoft.com/office/drawing/2014/main" id="{3E2228F7-F300-4B25-A54F-1D1DC1F6F4E1}"/>
            </a:ext>
          </a:extLst>
        </xdr:cNvPr>
        <xdr:cNvSpPr/>
      </xdr:nvSpPr>
      <xdr:spPr>
        <a:xfrm>
          <a:off x="10352943" y="8096250"/>
          <a:ext cx="57150" cy="169876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4</xdr:col>
      <xdr:colOff>242453</xdr:colOff>
      <xdr:row>10</xdr:row>
      <xdr:rowOff>0</xdr:rowOff>
    </xdr:from>
    <xdr:to>
      <xdr:col>19</xdr:col>
      <xdr:colOff>34636</xdr:colOff>
      <xdr:row>50</xdr:row>
      <xdr:rowOff>89821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39BD41-094A-8039-68B8-D1A381C5F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3044" y="1714500"/>
          <a:ext cx="8884228" cy="632436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7" t="s">
        <v>1134</v>
      </c>
      <c r="C4" s="527"/>
      <c r="D4" s="527"/>
      <c r="E4" s="527"/>
      <c r="F4" s="527"/>
      <c r="G4" s="527"/>
      <c r="H4" s="52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8" t="s">
        <v>0</v>
      </c>
      <c r="C7" s="528" t="s">
        <v>1</v>
      </c>
      <c r="D7" s="529" t="s">
        <v>42</v>
      </c>
      <c r="E7" s="529" t="s">
        <v>43</v>
      </c>
      <c r="F7" s="529" t="s">
        <v>1135</v>
      </c>
      <c r="G7" s="530" t="s">
        <v>41</v>
      </c>
      <c r="H7" s="526" t="s">
        <v>1042</v>
      </c>
      <c r="I7" s="526" t="s">
        <v>1137</v>
      </c>
      <c r="J7" s="526" t="s">
        <v>1026</v>
      </c>
      <c r="K7" s="520" t="s">
        <v>1024</v>
      </c>
      <c r="L7" s="521"/>
    </row>
    <row r="8" spans="1:12" ht="15" customHeight="1">
      <c r="B8" s="528"/>
      <c r="C8" s="528"/>
      <c r="D8" s="529"/>
      <c r="E8" s="529"/>
      <c r="F8" s="529"/>
      <c r="G8" s="530"/>
      <c r="H8" s="526"/>
      <c r="I8" s="526"/>
      <c r="J8" s="526"/>
      <c r="K8" s="522"/>
      <c r="L8" s="523"/>
    </row>
    <row r="9" spans="1:12" ht="15" customHeight="1">
      <c r="B9" s="528"/>
      <c r="C9" s="528"/>
      <c r="D9" s="529"/>
      <c r="E9" s="529"/>
      <c r="F9" s="529"/>
      <c r="G9" s="530"/>
      <c r="H9" s="526"/>
      <c r="I9" s="526"/>
      <c r="J9" s="526"/>
      <c r="K9" s="524"/>
      <c r="L9" s="52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13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13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2 x 70 + N 70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80</v>
      </c>
      <c r="G14" s="41">
        <f ca="1">IF(ISERROR(OFFSET('HARGA SATUAN'!$I$6,MATCH(C14,'HARGA SATUAN'!$C$7:$C$1492,0),0)),"",OFFSET('HARGA SATUAN'!$I$6,MATCH(C14,'HARGA SATUAN'!$C$7:$C$1492,0),0))</f>
        <v>53300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20</v>
      </c>
      <c r="G15" s="41">
        <f ca="1">IF(ISERROR(OFFSET('HARGA SATUAN'!$I$6,MATCH(C15,'HARGA SATUAN'!$C$7:$C$1492,0),0)),"",OFFSET('HARGA SATUAN'!$I$6,MATCH(C15,'HARGA SATUAN'!$C$7:$C$1492,0),0))</f>
        <v>6600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SUMIFS(RAB!$F$14:$F$87,RAB!$C$14:$C$87,C714)</f>
        <v>13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SUMIFS(RAB!$F$14:$F$87,RAB!$C$14:$C$87,C715)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SUMIFS(RAB!$F$14:$F$87,RAB!$C$14:$C$87,C716)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SUMIFS(RAB!$F$14:$F$87,RAB!$C$14:$C$87,C717)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SUMIFS(RAB!$F$14:$F$87,RAB!$C$14:$C$87,C718)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SUMIFS(RAB!$F$14:$F$87,RAB!$C$14:$C$87,C719)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SUMIFS(RAB!$F$14:$F$87,RAB!$C$14:$C$87,C720)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SUMIFS(RAB!$F$14:$F$87,RAB!$C$14:$C$87,C721)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SUMIFS(RAB!$F$14:$F$87,RAB!$C$14:$C$87,C722)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SUMIFS(RAB!$F$14:$F$87,RAB!$C$14:$C$87,C723)</f>
        <v>13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SUMIFS(RAB!$F$14:$F$87,RAB!$C$14:$C$87,C724)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SUMIFS(RAB!$F$14:$F$87,RAB!$C$14:$C$87,C725)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SUMIFS(RAB!$F$14:$F$87,RAB!$C$14:$C$87,C726)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SUMIFS(RAB!$F$14:$F$87,RAB!$C$14:$C$87,C727)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SUMIFS(RAB!$F$14:$F$87,RAB!$C$14:$C$87,C728)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SUMIFS(RAB!$F$14:$F$87,RAB!$C$14:$C$87,C729)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SUMIFS(RAB!$F$14:$F$87,RAB!$C$14:$C$87,C730)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SUMIFS(RAB!$F$14:$F$87,RAB!$C$14:$C$87,C731)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SUMIFS(RAB!$F$14:$F$87,RAB!$C$14:$C$87,C732)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SUMIFS(RAB!$F$14:$F$87,RAB!$C$14:$C$87,C733)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SUMIFS(RAB!$F$14:$F$87,RAB!$C$14:$C$87,C734)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SUMIFS(RAB!$F$14:$F$87,RAB!$C$14:$C$87,C735)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SUMIFS(RAB!$F$14:$F$87,RAB!$C$14:$C$87,C736)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SUMIFS(RAB!$F$14:$F$87,RAB!$C$14:$C$87,C737)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SUMIFS(RAB!$F$14:$F$87,RAB!$C$14:$C$87,C738)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SUMIFS(RAB!$F$14:$F$87,RAB!$C$14:$C$87,C739)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SUMIFS(RAB!$F$14:$F$87,RAB!$C$14:$C$87,C740)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SUMIFS(RAB!$F$14:$F$87,RAB!$C$14:$C$87,C741)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SUMIFS(RAB!$F$14:$F$87,RAB!$C$14:$C$87,C742)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SUMIFS(RAB!$F$14:$F$87,RAB!$C$14:$C$87,C743)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SUMIFS(RAB!$F$14:$F$87,RAB!$C$14:$C$87,C744)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SUMIFS(RAB!$F$14:$F$87,RAB!$C$14:$C$87,C745)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SUMIFS(RAB!$F$14:$F$87,RAB!$C$14:$C$87,C746)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SUMIFS(RAB!$F$14:$F$87,RAB!$C$14:$C$87,C747)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SUMIFS(RAB!$F$14:$F$87,RAB!$C$14:$C$87,C748)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SUMIFS(RAB!$F$14:$F$87,RAB!$C$14:$C$87,C749)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SUMIFS(RAB!$F$14:$F$87,RAB!$C$14:$C$87,C750)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SUMIFS(RAB!$F$14:$F$87,RAB!$C$14:$C$87,C751)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SUMIFS(RAB!$F$14:$F$87,RAB!$C$14:$C$87,C752)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SUMIFS(RAB!$F$14:$F$87,RAB!$C$14:$C$87,C753)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SUMIFS(RAB!$F$14:$F$87,RAB!$C$14:$C$87,C754)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SUMIFS(RAB!$F$14:$F$87,RAB!$C$14:$C$87,C755)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SUMIFS(RAB!$F$14:$F$87,RAB!$C$14:$C$87,C756)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SUMIFS(RAB!$F$14:$F$87,RAB!$C$14:$C$87,C757)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SUMIFS(RAB!$F$14:$F$87,RAB!$C$14:$C$87,C758)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SUMIFS(RAB!$F$14:$F$87,RAB!$C$14:$C$87,C759)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SUMIFS(RAB!$F$14:$F$87,RAB!$C$14:$C$87,C760)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SUMIFS(RAB!$F$14:$F$87,RAB!$C$14:$C$87,C761)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SUMIFS(RAB!$F$14:$F$87,RAB!$C$14:$C$87,C762)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SUMIFS(RAB!$F$14:$F$87,RAB!$C$14:$C$87,C763)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SUMIFS(RAB!$F$14:$F$87,RAB!$C$14:$C$87,C764)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SUMIFS(RAB!$F$14:$F$87,RAB!$C$14:$C$87,C765)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SUMIFS(RAB!$F$14:$F$87,RAB!$C$14:$C$87,C766)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SUMIFS(RAB!$F$14:$F$87,RAB!$C$14:$C$87,C767)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SUMIFS(RAB!$F$14:$F$87,RAB!$C$14:$C$87,C768)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SUMIFS(RAB!$F$14:$F$87,RAB!$C$14:$C$87,C769)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SUMIFS(RAB!$F$14:$F$87,RAB!$C$14:$C$87,C770)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SUMIFS(RAB!$F$14:$F$87,RAB!$C$14:$C$87,C771)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SUMIFS(RAB!$F$14:$F$87,RAB!$C$14:$C$87,C772)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SUMIFS(RAB!$F$14:$F$87,RAB!$C$14:$C$87,C773)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SUMIFS(RAB!$F$14:$F$87,RAB!$C$14:$C$87,C774)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SUMIFS(RAB!$F$14:$F$87,RAB!$C$14:$C$87,C775)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SUMIFS(RAB!$F$14:$F$87,RAB!$C$14:$C$87,C776)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SUMIFS(RAB!$F$14:$F$87,RAB!$C$14:$C$87,C777)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SUMIFS(RAB!$F$14:$F$87,RAB!$C$14:$C$87,C778)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SUMIFS(RAB!$F$14:$F$87,RAB!$C$14:$C$87,C779)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SUMIFS(RAB!$F$14:$F$87,RAB!$C$14:$C$87,C780)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SUMIFS(RAB!$F$14:$F$87,RAB!$C$14:$C$87,C781)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SUMIFS(RAB!$F$14:$F$87,RAB!$C$14:$C$87,C782)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SUMIFS(RAB!$F$14:$F$87,RAB!$C$14:$C$87,C783)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SUMIFS(RAB!$F$14:$F$87,RAB!$C$14:$C$87,C784)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SUMIFS(RAB!$F$14:$F$87,RAB!$C$14:$C$87,C785)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SUMIFS(RAB!$F$14:$F$87,RAB!$C$14:$C$87,C786)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SUMIFS(RAB!$F$14:$F$87,RAB!$C$14:$C$87,C787)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SUMIFS(RAB!$F$14:$F$87,RAB!$C$14:$C$87,C788)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SUMIFS(RAB!$F$14:$F$87,RAB!$C$14:$C$87,C789)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SUMIFS(RAB!$F$14:$F$87,RAB!$C$14:$C$87,C790)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SUMIFS(RAB!$F$14:$F$87,RAB!$C$14:$C$87,C791)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SUMIFS(RAB!$F$14:$F$87,RAB!$C$14:$C$87,C792)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SUMIFS(RAB!$F$14:$F$87,RAB!$C$14:$C$87,C793)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SUMIFS(RAB!$F$14:$F$87,RAB!$C$14:$C$87,C794)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SUMIFS(RAB!$F$14:$F$87,RAB!$C$14:$C$87,C795)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SUMIFS(RAB!$F$14:$F$87,RAB!$C$14:$C$87,C796)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SUMIFS(RAB!$F$14:$F$87,RAB!$C$14:$C$87,C797)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SUMIFS(RAB!$F$14:$F$87,RAB!$C$14:$C$87,C798)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SUMIFS(RAB!$F$14:$F$87,RAB!$C$14:$C$87,C799)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SUMIFS(RAB!$F$14:$F$87,RAB!$C$14:$C$87,C800)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SUMIFS(RAB!$F$14:$F$87,RAB!$C$14:$C$87,C801)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SUMIFS(RAB!$F$14:$F$87,RAB!$C$14:$C$87,C802)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SUMIFS(RAB!$F$14:$F$87,RAB!$C$14:$C$87,C803)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SUMIFS(RAB!$F$14:$F$87,RAB!$C$14:$C$87,C804)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SUMIFS(RAB!$F$14:$F$87,RAB!$C$14:$C$87,C805)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SUMIFS(RAB!$F$14:$F$87,RAB!$C$14:$C$87,C806)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SUMIFS(RAB!$F$14:$F$87,RAB!$C$14:$C$87,C807)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SUMIFS(RAB!$F$14:$F$87,RAB!$C$14:$C$87,C808)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SUMIFS(RAB!$F$14:$F$87,RAB!$C$14:$C$87,C809)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SUMIFS(RAB!$F$14:$F$87,RAB!$C$14:$C$87,C810)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SUMIFS(RAB!$F$14:$F$87,RAB!$C$14:$C$87,C811)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SUMIFS(RAB!$F$14:$F$87,RAB!$C$14:$C$87,C812)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SUMIFS(RAB!$F$14:$F$87,RAB!$C$14:$C$87,C813)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SUMIFS(RAB!$F$14:$F$87,RAB!$C$14:$C$87,C814)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SUMIFS(RAB!$F$14:$F$87,RAB!$C$14:$C$87,C815)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SUMIFS(RAB!$F$14:$F$87,RAB!$C$14:$C$87,C816)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SUMIFS(RAB!$F$14:$F$87,RAB!$C$14:$C$87,C817)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SUMIFS(RAB!$F$14:$F$87,RAB!$C$14:$C$87,C818)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SUMIFS(RAB!$F$14:$F$87,RAB!$C$14:$C$87,C819)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SUMIFS(RAB!$F$14:$F$87,RAB!$C$14:$C$87,C820)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SUMIFS(RAB!$F$14:$F$87,RAB!$C$14:$C$87,C821)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SUMIFS(RAB!$F$14:$F$87,RAB!$C$14:$C$87,C822)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SUMIFS(RAB!$F$14:$F$87,RAB!$C$14:$C$87,C823)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SUMIFS(RAB!$F$14:$F$87,RAB!$C$14:$C$87,C824)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SUMIFS(RAB!$F$14:$F$87,RAB!$C$14:$C$87,C825)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SUMIFS(RAB!$F$14:$F$87,RAB!$C$14:$C$87,C826)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SUMIFS(RAB!$F$14:$F$87,RAB!$C$14:$C$87,C827)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SUMIFS(RAB!$F$14:$F$87,RAB!$C$14:$C$87,C828)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SUMIFS(RAB!$F$14:$F$87,RAB!$C$14:$C$87,C829)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SUMIFS(RAB!$F$14:$F$87,RAB!$C$14:$C$87,C830)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SUMIFS(RAB!$F$14:$F$87,RAB!$C$14:$C$87,C831)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SUMIFS(RAB!$F$14:$F$87,RAB!$C$14:$C$87,C832)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SUMIFS(RAB!$F$14:$F$87,RAB!$C$14:$C$87,C833)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SUMIFS(RAB!$F$14:$F$87,RAB!$C$14:$C$87,C834)</f>
        <v>80</v>
      </c>
      <c r="E834" s="26">
        <f t="shared" ca="1" si="34"/>
        <v>1</v>
      </c>
      <c r="F834" s="26">
        <f ca="1">IF(D834=0,0,SUM($E$713:E834))</f>
        <v>3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SUMIFS(RAB!$F$14:$F$87,RAB!$C$14:$C$87,C835)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SUMIFS(RAB!$F$14:$F$87,RAB!$C$14:$C$87,C836)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SUMIFS(RAB!$F$14:$F$87,RAB!$C$14:$C$87,C837)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SUMIFS(RAB!$F$14:$F$87,RAB!$C$14:$C$87,C838)</f>
        <v>20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SUMIFS(RAB!$F$14:$F$87,RAB!$C$14:$C$87,C839)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SUMIFS(RAB!$F$14:$F$87,RAB!$C$14:$C$87,C840)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SUMIFS(RAB!$F$14:$F$87,RAB!$C$14:$C$87,C841)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SUMIFS(RAB!$F$14:$F$87,RAB!$C$14:$C$87,C842)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SUMIFS(RAB!$F$14:$F$87,RAB!$C$14:$C$87,C843)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SUMIFS(RAB!$F$14:$F$87,RAB!$C$14:$C$87,C844)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SUMIFS(RAB!$F$14:$F$87,RAB!$C$14:$C$87,C845)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SUMIFS(RAB!$F$14:$F$87,RAB!$C$14:$C$87,C846)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SUMIFS(RAB!$F$14:$F$87,RAB!$C$14:$C$87,C847)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SUMIFS(RAB!$F$14:$F$87,RAB!$C$14:$C$87,C848)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SUMIFS(RAB!$F$14:$F$87,RAB!$C$14:$C$87,C849)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SUMIFS(RAB!$F$14:$F$87,RAB!$C$14:$C$87,C850)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SUMIFS(RAB!$F$14:$F$87,RAB!$C$14:$C$87,C851)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SUMIFS(RAB!$F$14:$F$87,RAB!$C$14:$C$87,C852)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SUMIFS(RAB!$F$14:$F$87,RAB!$C$14:$C$87,C853)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SUMIFS(RAB!$F$14:$F$87,RAB!$C$14:$C$87,C854)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SUMIFS(RAB!$F$14:$F$87,RAB!$C$14:$C$87,C855)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SUMIFS(RAB!$F$14:$F$87,RAB!$C$14:$C$87,C856)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SUMIFS(RAB!$F$14:$F$87,RAB!$C$14:$C$87,C857)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SUMIFS(RAB!$F$14:$F$87,RAB!$C$14:$C$87,C858)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SUMIFS(RAB!$F$14:$F$87,RAB!$C$14:$C$87,C859)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SUMIFS(RAB!$F$14:$F$87,RAB!$C$14:$C$87,C860)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SUMIFS(RAB!$F$14:$F$87,RAB!$C$14:$C$87,C861)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SUMIFS(RAB!$F$14:$F$87,RAB!$C$14:$C$87,C862)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SUMIFS(RAB!$F$14:$F$87,RAB!$C$14:$C$87,C863)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SUMIFS(RAB!$F$14:$F$87,RAB!$C$14:$C$87,C864)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SUMIFS(RAB!$F$14:$F$87,RAB!$C$14:$C$87,C865)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SUMIFS(RAB!$F$14:$F$87,RAB!$C$14:$C$87,C866)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SUMIFS(RAB!$F$14:$F$87,RAB!$C$14:$C$87,C867)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SUMIFS(RAB!$F$14:$F$87,RAB!$C$14:$C$87,C868)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SUMIFS(RAB!$F$14:$F$87,RAB!$C$14:$C$87,C869)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SUMIFS(RAB!$F$14:$F$87,RAB!$C$14:$C$87,C870)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SUMIFS(RAB!$F$14:$F$87,RAB!$C$14:$C$87,C871)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SUMIFS(RAB!$F$14:$F$87,RAB!$C$14:$C$87,C872)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SUMIFS(RAB!$F$14:$F$87,RAB!$C$14:$C$87,C873)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SUMIFS(RAB!$F$14:$F$87,RAB!$C$14:$C$87,C874)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SUMIFS(RAB!$F$14:$F$87,RAB!$C$14:$C$87,C875)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SUMIFS(RAB!$F$14:$F$87,RAB!$C$14:$C$87,C876)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SUMIFS(RAB!$F$14:$F$87,RAB!$C$14:$C$87,C877)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SUMIFS(RAB!$F$14:$F$87,RAB!$C$14:$C$87,C878)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SUMIFS(RAB!$F$14:$F$87,RAB!$C$14:$C$87,C879)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SUMIFS(RAB!$F$14:$F$87,RAB!$C$14:$C$87,C880)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SUMIFS(RAB!$F$14:$F$87,RAB!$C$14:$C$87,C881)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SUMIFS(RAB!$F$14:$F$87,RAB!$C$14:$C$87,C882)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SUMIFS(RAB!$F$14:$F$87,RAB!$C$14:$C$87,C883)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SUMIFS(RAB!$F$14:$F$87,RAB!$C$14:$C$87,C884)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SUMIFS(RAB!$F$14:$F$87,RAB!$C$14:$C$87,C885)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SUMIFS(RAB!$F$14:$F$87,RAB!$C$14:$C$87,C886)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SUMIFS(RAB!$F$14:$F$87,RAB!$C$14:$C$87,C887)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SUMIFS(RAB!$F$14:$F$87,RAB!$C$14:$C$87,C888)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SUMIFS(RAB!$F$14:$F$87,RAB!$C$14:$C$87,C889)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SUMIFS(RAB!$F$14:$F$87,RAB!$C$14:$C$87,C890)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SUMIFS(RAB!$F$14:$F$87,RAB!$C$14:$C$87,C891)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SUMIFS(RAB!$F$14:$F$87,RAB!$C$14:$C$87,C892)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SUMIFS(RAB!$F$14:$F$87,RAB!$C$14:$C$87,C893)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SUMIFS(RAB!$F$14:$F$87,RAB!$C$14:$C$87,C894)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SUMIFS(RAB!$F$14:$F$87,RAB!$C$14:$C$87,C895)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SUMIFS(RAB!$F$14:$F$87,RAB!$C$14:$C$87,C896)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SUMIFS(RAB!$F$14:$F$87,RAB!$C$14:$C$87,C897)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SUMIFS(RAB!$F$14:$F$87,RAB!$C$14:$C$87,C898)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SUMIFS(RAB!$F$14:$F$87,RAB!$C$14:$C$87,C899)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SUMIFS(RAB!$F$14:$F$87,RAB!$C$14:$C$87,C900)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SUMIFS(RAB!$F$14:$F$87,RAB!$C$14:$C$87,C901)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SUMIFS(RAB!$F$14:$F$87,RAB!$C$14:$C$87,C902)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SUMIFS(RAB!$F$14:$F$87,RAB!$C$14:$C$87,C903)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SUMIFS(RAB!$F$14:$F$87,RAB!$C$14:$C$87,C904)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SUMIFS(RAB!$F$14:$F$87,RAB!$C$14:$C$87,C905)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SUMIFS(RAB!$F$14:$F$87,RAB!$C$14:$C$87,C906)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SUMIFS(RAB!$F$14:$F$87,RAB!$C$14:$C$87,C907)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SUMIFS(RAB!$F$14:$F$87,RAB!$C$14:$C$87,C908)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SUMIFS(RAB!$F$14:$F$87,RAB!$C$14:$C$87,C909)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SUMIFS(RAB!$F$14:$F$87,RAB!$C$14:$C$87,C910)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SUMIFS(RAB!$F$14:$F$87,RAB!$C$14:$C$87,C911)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SUMIFS(RAB!$F$14:$F$87,RAB!$C$14:$C$87,C912)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SUMIFS(RAB!$F$14:$F$87,RAB!$C$14:$C$87,C913)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SUMIFS(RAB!$F$14:$F$87,RAB!$C$14:$C$87,C914)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SUMIFS(RAB!$F$14:$F$87,RAB!$C$14:$C$87,C915)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SUMIFS(RAB!$F$14:$F$87,RAB!$C$14:$C$87,C916)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SUMIFS(RAB!$F$14:$F$87,RAB!$C$14:$C$87,C917)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SUMIFS(RAB!$F$14:$F$87,RAB!$C$14:$C$87,C918)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SUMIFS(RAB!$F$14:$F$87,RAB!$C$14:$C$87,C919)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SUMIFS(RAB!$F$14:$F$87,RAB!$C$14:$C$87,C920)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SUMIFS(RAB!$F$14:$F$87,RAB!$C$14:$C$87,C921)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SUMIFS(RAB!$F$14:$F$87,RAB!$C$14:$C$87,C922)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SUMIFS(RAB!$F$14:$F$87,RAB!$C$14:$C$87,C923)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SUMIFS(RAB!$F$14:$F$87,RAB!$C$14:$C$87,C924)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SUMIFS(RAB!$F$14:$F$87,RAB!$C$14:$C$87,C925)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SUMIFS(RAB!$F$14:$F$87,RAB!$C$14:$C$87,C926)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SUMIFS(RAB!$F$14:$F$87,RAB!$C$14:$C$87,C927)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SUMIFS(RAB!$F$14:$F$87,RAB!$C$14:$C$87,C928)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SUMIFS(RAB!$F$14:$F$87,RAB!$C$14:$C$87,C929)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SUMIFS(RAB!$F$14:$F$87,RAB!$C$14:$C$87,C930)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SUMIFS(RAB!$F$14:$F$87,RAB!$C$14:$C$87,C931)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SUMIFS(RAB!$F$14:$F$87,RAB!$C$14:$C$87,C932)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SUMIFS(RAB!$F$14:$F$87,RAB!$C$14:$C$87,C933)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SUMIFS(RAB!$F$14:$F$87,RAB!$C$14:$C$87,C934)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SUMIFS(RAB!$F$14:$F$87,RAB!$C$14:$C$87,C935)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SUMIFS(RAB!$F$14:$F$87,RAB!$C$14:$C$87,C936)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SUMIFS(RAB!$F$14:$F$87,RAB!$C$14:$C$87,C937)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SUMIFS(RAB!$F$14:$F$87,RAB!$C$14:$C$87,C938)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SUMIFS(RAB!$F$14:$F$87,RAB!$C$14:$C$87,C939)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SUMIFS(RAB!$F$14:$F$87,RAB!$C$14:$C$87,C940)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SUMIFS(RAB!$F$14:$F$87,RAB!$C$14:$C$87,C941)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SUMIFS(RAB!$F$14:$F$87,RAB!$C$14:$C$87,C942)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SUMIFS(RAB!$F$14:$F$87,RAB!$C$14:$C$87,C943)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SUMIFS(RAB!$F$14:$F$87,RAB!$C$14:$C$87,C944)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SUMIFS(RAB!$F$14:$F$87,RAB!$C$14:$C$87,C945)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SUMIFS(RAB!$F$14:$F$87,RAB!$C$14:$C$87,C946)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SUMIFS(RAB!$F$14:$F$87,RAB!$C$14:$C$87,C947)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SUMIFS(RAB!$F$14:$F$87,RAB!$C$14:$C$87,C948)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SUMIFS(RAB!$F$14:$F$87,RAB!$C$14:$C$87,C949)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SUMIFS(RAB!$F$14:$F$87,RAB!$C$14:$C$87,C950)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SUMIFS(RAB!$F$14:$F$87,RAB!$C$14:$C$87,C951)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SUMIFS(RAB!$F$14:$F$87,RAB!$C$14:$C$87,C952)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SUMIFS(RAB!$F$14:$F$87,RAB!$C$14:$C$87,C953)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SUMIFS(RAB!$F$14:$F$87,RAB!$C$14:$C$87,C954)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SUMIFS(RAB!$F$14:$F$87,RAB!$C$14:$C$87,C955)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SUMIFS(RAB!$F$14:$F$87,RAB!$C$14:$C$87,C956)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SUMIFS(RAB!$F$14:$F$87,RAB!$C$14:$C$87,C957)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SUMIFS(RAB!$F$14:$F$87,RAB!$C$14:$C$87,C958)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SUMIFS(RAB!$F$14:$F$87,RAB!$C$14:$C$87,C959)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SUMIFS(RAB!$F$14:$F$87,RAB!$C$14:$C$87,C960)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SUMIFS(RAB!$F$14:$F$87,RAB!$C$14:$C$87,C961)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SUMIFS(RAB!$F$14:$F$87,RAB!$C$14:$C$87,C962)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SUMIFS(RAB!$F$14:$F$87,RAB!$C$14:$C$87,C963)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SUMIFS(RAB!$F$14:$F$87,RAB!$C$14:$C$87,C964)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SUMIFS(RAB!$F$14:$F$87,RAB!$C$14:$C$87,C965)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SUMIFS(RAB!$F$14:$F$87,RAB!$C$14:$C$87,C966)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SUMIFS(RAB!$F$14:$F$87,RAB!$C$14:$C$87,C967)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SUMIFS(RAB!$F$14:$F$87,RAB!$C$14:$C$87,C968)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SUMIFS(RAB!$F$14:$F$87,RAB!$C$14:$C$87,C969)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SUMIFS(RAB!$F$14:$F$87,RAB!$C$14:$C$87,C970)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SUMIFS(RAB!$F$14:$F$87,RAB!$C$14:$C$87,C971)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SUMIFS(RAB!$F$14:$F$87,RAB!$C$14:$C$87,C972)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SUMIFS(RAB!$F$14:$F$87,RAB!$C$14:$C$87,C973)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SUMIFS(RAB!$F$14:$F$87,RAB!$C$14:$C$87,C974)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SUMIFS(RAB!$F$14:$F$87,RAB!$C$14:$C$87,C975)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SUMIFS(RAB!$F$14:$F$87,RAB!$C$14:$C$87,C976)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SUMIFS(RAB!$F$14:$F$87,RAB!$C$14:$C$87,C977)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SUMIFS(RAB!$F$14:$F$87,RAB!$C$14:$C$87,C978)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SUMIFS(RAB!$F$14:$F$87,RAB!$C$14:$C$87,C979)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SUMIFS(RAB!$F$14:$F$87,RAB!$C$14:$C$87,C980)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SUMIFS(RAB!$F$14:$F$87,RAB!$C$14:$C$87,C981)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SUMIFS(RAB!$F$14:$F$87,RAB!$C$14:$C$87,C982)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SUMIFS(RAB!$F$14:$F$87,RAB!$C$14:$C$87,C983)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SUMIFS(RAB!$F$14:$F$87,RAB!$C$14:$C$87,C984)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SUMIFS(RAB!$F$14:$F$87,RAB!$C$14:$C$87,C985)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SUMIFS(RAB!$F$14:$F$87,RAB!$C$14:$C$87,C986)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SUMIFS(RAB!$F$14:$F$87,RAB!$C$14:$C$87,C987)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SUMIFS(RAB!$F$14:$F$87,RAB!$C$14:$C$87,C988)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SUMIFS(RAB!$F$14:$F$87,RAB!$C$14:$C$87,C989)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SUMIFS(RAB!$F$14:$F$87,RAB!$C$14:$C$87,C990)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SUMIFS(RAB!$F$14:$F$87,RAB!$C$14:$C$87,C991)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SUMIFS(RAB!$F$14:$F$87,RAB!$C$14:$C$87,C992)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SUMIFS(RAB!$F$14:$F$87,RAB!$C$14:$C$87,C993)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SUMIFS(RAB!$F$14:$F$87,RAB!$C$14:$C$87,C994)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SUMIFS(RAB!$F$14:$F$87,RAB!$C$14:$C$87,C995)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SUMIFS(RAB!$F$14:$F$87,RAB!$C$14:$C$87,C996)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SUMIFS(RAB!$F$14:$F$87,RAB!$C$14:$C$87,C997)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SUMIFS(RAB!$F$14:$F$87,RAB!$C$14:$C$87,C998)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SUMIFS(RAB!$F$14:$F$87,RAB!$C$14:$C$87,C999)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SUMIFS(RAB!$F$14:$F$87,RAB!$C$14:$C$87,C1000)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SUMIFS(RAB!$F$14:$F$87,RAB!$C$14:$C$87,C1001)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SUMIFS(RAB!$F$14:$F$87,RAB!$C$14:$C$87,C1002)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SUMIFS(RAB!$F$14:$F$87,RAB!$C$14:$C$87,C1003)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SUMIFS(RAB!$F$14:$F$87,RAB!$C$14:$C$87,C1004)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SUMIFS(RAB!$F$14:$F$87,RAB!$C$14:$C$87,C1005)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SUMIFS(RAB!$F$14:$F$87,RAB!$C$14:$C$87,C1006)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SUMIFS(RAB!$F$14:$F$87,RAB!$C$14:$C$87,C1007)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SUMIFS(RAB!$F$14:$F$87,RAB!$C$14:$C$87,C1008)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SUMIFS(RAB!$F$14:$F$87,RAB!$C$14:$C$87,C1009)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SUMIFS(RAB!$F$14:$F$87,RAB!$C$14:$C$87,C1010)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SUMIFS(RAB!$F$14:$F$87,RAB!$C$14:$C$87,C1011)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SUMIFS(RAB!$F$14:$F$87,RAB!$C$14:$C$87,C1012)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SUMIFS(RAB!$F$14:$F$87,RAB!$C$14:$C$87,C1013)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SUMIFS(RAB!$F$14:$F$87,RAB!$C$14:$C$87,C1014)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SUMIFS(RAB!$F$14:$F$87,RAB!$C$14:$C$87,C1015)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SUMIFS(RAB!$F$14:$F$87,RAB!$C$14:$C$87,C1016)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SUMIFS(RAB!$F$14:$F$87,RAB!$C$14:$C$87,C1017)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SUMIFS(RAB!$F$14:$F$87,RAB!$C$14:$C$87,C1018)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SUMIFS(RAB!$F$14:$F$87,RAB!$C$14:$C$87,C1019)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SUMIFS(RAB!$F$14:$F$87,RAB!$C$14:$C$87,C1020)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SUMIFS(RAB!$F$14:$F$87,RAB!$C$14:$C$87,C1021)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SUMIFS(RAB!$F$14:$F$87,RAB!$C$14:$C$87,C1022)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SUMIFS(RAB!$F$14:$F$87,RAB!$C$14:$C$87,C1023)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SUMIFS(RAB!$F$14:$F$87,RAB!$C$14:$C$87,C1024)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SUMIFS(RAB!$F$14:$F$87,RAB!$C$14:$C$87,C1025)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SUMIFS(RAB!$F$14:$F$87,RAB!$C$14:$C$87,C1026)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SUMIFS(RAB!$F$14:$F$87,RAB!$C$14:$C$87,C1027)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SUMIFS(RAB!$F$14:$F$87,RAB!$C$14:$C$87,C1028)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SUMIFS(RAB!$F$14:$F$87,RAB!$C$14:$C$87,C1029)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SUMIFS(RAB!$F$14:$F$87,RAB!$C$14:$C$87,C1030)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SUMIFS(RAB!$F$14:$F$87,RAB!$C$14:$C$87,C1031)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SUMIFS(RAB!$F$14:$F$87,RAB!$C$14:$C$87,C1032)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SUMIFS(RAB!$F$14:$F$87,RAB!$C$14:$C$87,C1033)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SUMIFS(RAB!$F$14:$F$87,RAB!$C$14:$C$87,C1034)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SUMIFS(RAB!$F$14:$F$87,RAB!$C$14:$C$87,C1035)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SUMIFS(RAB!$F$14:$F$87,RAB!$C$14:$C$87,C1036)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SUMIFS(RAB!$F$14:$F$87,RAB!$C$14:$C$87,C1037)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SUMIFS(RAB!$F$14:$F$87,RAB!$C$14:$C$87,C1038)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SUMIFS(RAB!$F$14:$F$87,RAB!$C$14:$C$87,C1039)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SUMIFS(RAB!$F$14:$F$87,RAB!$C$14:$C$87,C1040)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SUMIFS(RAB!$F$14:$F$87,RAB!$C$14:$C$87,C1041)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SUMIFS(RAB!$F$14:$F$87,RAB!$C$14:$C$87,C1042)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SUMIFS(RAB!$F$14:$F$87,RAB!$C$14:$C$87,C1043)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SUMIFS(RAB!$F$14:$F$87,RAB!$C$14:$C$87,C1044)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SUMIFS(RAB!$F$14:$F$87,RAB!$C$14:$C$87,C1045)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SUMIFS(RAB!$F$14:$F$87,RAB!$C$14:$C$87,C1046)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SUMIFS(RAB!$F$14:$F$87,RAB!$C$14:$C$87,C1047)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SUMIFS(RAB!$F$14:$F$87,RAB!$C$14:$C$87,C1048)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SUMIFS(RAB!$F$14:$F$87,RAB!$C$14:$C$87,C1049)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SUMIFS(RAB!$F$14:$F$87,RAB!$C$14:$C$87,C1050)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SUMIFS(RAB!$F$14:$F$87,RAB!$C$14:$C$87,C1051)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SUMIFS(RAB!$F$14:$F$87,RAB!$C$14:$C$87,C1052)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SUMIFS(RAB!$F$14:$F$87,RAB!$C$14:$C$87,C1053)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SUMIFS(RAB!$F$14:$F$87,RAB!$C$14:$C$87,C1054)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SUMIFS(RAB!$F$14:$F$87,RAB!$C$14:$C$87,C1055)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SUMIFS(RAB!$F$14:$F$87,RAB!$C$14:$C$87,C1056)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SUMIFS(RAB!$F$14:$F$87,RAB!$C$14:$C$87,C1057)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SUMIFS(RAB!$F$14:$F$87,RAB!$C$14:$C$87,C1058)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SUMIFS(RAB!$F$14:$F$87,RAB!$C$14:$C$87,C1059)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SUMIFS(RAB!$F$14:$F$87,RAB!$C$14:$C$87,C1060)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SUMIFS(RAB!$F$14:$F$87,RAB!$C$14:$C$87,C1061)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SUMIFS(RAB!$F$14:$F$87,RAB!$C$14:$C$87,C1062)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SUMIFS(RAB!$F$14:$F$87,RAB!$C$14:$C$87,C1063)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SUMIFS(RAB!$F$14:$F$87,RAB!$C$14:$C$87,C1064)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SUMIFS(RAB!$F$14:$F$87,RAB!$C$14:$C$87,C1065)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SUMIFS(RAB!$F$14:$F$87,RAB!$C$14:$C$87,C1066)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SUMIFS(RAB!$F$14:$F$87,RAB!$C$14:$C$87,C1067)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SUMIFS(RAB!$F$14:$F$87,RAB!$C$14:$C$87,C1068)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SUMIFS(RAB!$F$14:$F$87,RAB!$C$14:$C$87,C1069)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SUMIFS(RAB!$F$14:$F$87,RAB!$C$14:$C$87,C1070)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SUMIFS(RAB!$F$14:$F$87,RAB!$C$14:$C$87,C1071)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SUMIFS(RAB!$F$14:$F$87,RAB!$C$14:$C$87,C1072)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SUMIFS(RAB!$F$14:$F$87,RAB!$C$14:$C$87,C1073)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SUMIFS(RAB!$F$14:$F$87,RAB!$C$14:$C$87,C1074)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SUMIFS(RAB!$F$14:$F$87,RAB!$C$14:$C$87,C1075)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SUMIFS(RAB!$F$14:$F$87,RAB!$C$14:$C$87,C1076)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SUMIFS(RAB!$F$14:$F$87,RAB!$C$14:$C$87,C1077)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SUMIFS(RAB!$F$14:$F$87,RAB!$C$14:$C$87,C1078)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SUMIFS(RAB!$F$14:$F$87,RAB!$C$14:$C$87,C1079)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SUMIFS(RAB!$F$14:$F$87,RAB!$C$14:$C$87,C1080)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SUMIFS(RAB!$F$14:$F$87,RAB!$C$14:$C$87,C1081)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SUMIFS(RAB!$F$14:$F$87,RAB!$C$14:$C$87,C1082)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SUMIFS(RAB!$F$14:$F$87,RAB!$C$14:$C$87,C1083)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SUMIFS(RAB!$F$14:$F$87,RAB!$C$14:$C$87,C1084)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SUMIFS(RAB!$F$14:$F$87,RAB!$C$14:$C$87,C1085)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SUMIFS(RAB!$F$14:$F$87,RAB!$C$14:$C$87,C1086)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SUMIFS(RAB!$F$14:$F$87,RAB!$C$14:$C$87,C1087)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SUMIFS(RAB!$F$14:$F$87,RAB!$C$14:$C$87,C1088)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SUMIFS(RAB!$F$14:$F$87,RAB!$C$14:$C$87,C1089)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SUMIFS(RAB!$F$14:$F$87,RAB!$C$14:$C$87,C1090)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SUMIFS(RAB!$F$14:$F$87,RAB!$C$14:$C$87,C1091)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SUMIFS(RAB!$F$14:$F$87,RAB!$C$14:$C$87,C1092)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SUMIFS(RAB!$F$14:$F$87,RAB!$C$14:$C$87,C1093)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SUMIFS(RAB!$F$14:$F$87,RAB!$C$14:$C$87,C1094)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SUMIFS(RAB!$F$14:$F$87,RAB!$C$14:$C$87,C1095)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SUMIFS(RAB!$F$14:$F$87,RAB!$C$14:$C$87,C1096)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SUMIFS(RAB!$F$14:$F$87,RAB!$C$14:$C$87,C1097)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SUMIFS(RAB!$F$14:$F$87,RAB!$C$14:$C$87,C1098)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SUMIFS(RAB!$F$14:$F$87,RAB!$C$14:$C$87,C1099)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SUMIFS(RAB!$F$14:$F$87,RAB!$C$14:$C$87,C1100)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SUMIFS(RAB!$F$14:$F$87,RAB!$C$14:$C$87,C1101)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SUMIFS(RAB!$F$14:$F$87,RAB!$C$14:$C$87,C1102)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SUMIFS(RAB!$F$14:$F$87,RAB!$C$14:$C$87,C1103)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SUMIFS(RAB!$F$14:$F$87,RAB!$C$14:$C$87,C1104)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SUMIFS(RAB!$F$14:$F$87,RAB!$C$14:$C$87,C1105)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SUMIFS(RAB!$F$14:$F$87,RAB!$C$14:$C$87,C1106)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SUMIFS(RAB!$F$14:$F$87,RAB!$C$14:$C$87,C1107)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SUMIFS(RAB!$F$14:$F$87,RAB!$C$14:$C$87,C1108)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SUMIFS(RAB!$F$14:$F$87,RAB!$C$14:$C$87,C1109)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SUMIFS(RAB!$F$14:$F$87,RAB!$C$14:$C$87,C1110)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SUMIFS(RAB!$F$14:$F$87,RAB!$C$14:$C$87,C1111)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SUMIFS(RAB!$F$14:$F$87,RAB!$C$14:$C$87,C1112)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SUMIFS(RAB!$F$14:$F$87,RAB!$C$14:$C$87,C1113)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SUMIFS(RAB!$F$14:$F$87,RAB!$C$14:$C$87,C1114)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SUMIFS(RAB!$F$14:$F$87,RAB!$C$14:$C$87,C1115)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SUMIFS(RAB!$F$14:$F$87,RAB!$C$14:$C$87,C1116)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SUMIFS(RAB!$F$14:$F$87,RAB!$C$14:$C$87,C1117)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SUMIFS(RAB!$F$14:$F$87,RAB!$C$14:$C$87,C1118)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SUMIFS(RAB!$F$14:$F$87,RAB!$C$14:$C$87,C1119)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SUMIFS(RAB!$F$14:$F$87,RAB!$C$14:$C$87,C1120)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SUMIFS(RAB!$F$14:$F$87,RAB!$C$14:$C$87,C1121)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SUMIFS(RAB!$F$14:$F$87,RAB!$C$14:$C$87,C1122)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SUMIFS(RAB!$F$14:$F$87,RAB!$C$14:$C$87,C1123)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SUMIFS(RAB!$F$14:$F$87,RAB!$C$14:$C$87,C1124)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SUMIFS(RAB!$F$14:$F$87,RAB!$C$14:$C$87,C1125)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SUMIFS(RAB!$F$14:$F$87,RAB!$C$14:$C$87,C1126)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SUMIFS(RAB!$F$14:$F$87,RAB!$C$14:$C$87,C1127)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SUMIFS(RAB!$F$14:$F$87,RAB!$C$14:$C$87,C1128)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SUMIFS(RAB!$F$14:$F$87,RAB!$C$14:$C$87,C1129)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SUMIFS(RAB!$F$14:$F$87,RAB!$C$14:$C$87,C1130)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SUMIFS(RAB!$F$14:$F$87,RAB!$C$14:$C$87,C1131)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SUMIFS(RAB!$F$14:$F$87,RAB!$C$14:$C$87,C1132)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SUMIFS(RAB!$F$14:$F$87,RAB!$C$14:$C$87,C1133)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SUMIFS(RAB!$F$14:$F$87,RAB!$C$14:$C$87,C1134)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SUMIFS(RAB!$F$14:$F$87,RAB!$C$14:$C$87,C1135)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SUMIFS(RAB!$F$14:$F$87,RAB!$C$14:$C$87,C1136)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SUMIFS(RAB!$F$14:$F$87,RAB!$C$14:$C$87,C1137)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SUMIFS(RAB!$F$14:$F$87,RAB!$C$14:$C$87,C1138)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SUMIFS(RAB!$F$14:$F$87,RAB!$C$14:$C$87,C1139)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SUMIFS(RAB!$F$14:$F$87,RAB!$C$14:$C$87,C1140)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SUMIFS(RAB!$F$14:$F$87,RAB!$C$14:$C$87,C1141)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SUMIFS(RAB!$F$14:$F$87,RAB!$C$14:$C$87,C1142)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SUMIFS(RAB!$F$14:$F$87,RAB!$C$14:$C$87,C1143)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SUMIFS(RAB!$F$14:$F$87,RAB!$C$14:$C$87,C1144)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SUMIFS(RAB!$F$14:$F$87,RAB!$C$14:$C$87,C1145)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SUMIFS(RAB!$F$14:$F$87,RAB!$C$14:$C$87,C1146)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SUMIFS(RAB!$F$14:$F$87,RAB!$C$14:$C$87,C1147)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SUMIFS(RAB!$F$14:$F$87,RAB!$C$14:$C$87,C1148)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SUMIFS(RAB!$F$14:$F$87,RAB!$C$14:$C$87,C1149)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SUMIFS(RAB!$F$14:$F$87,RAB!$C$14:$C$87,C1150)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SUMIFS(RAB!$F$14:$F$87,RAB!$C$14:$C$87,C1151)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SUMIFS(RAB!$F$14:$F$87,RAB!$C$14:$C$87,C1152)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SUMIFS(RAB!$F$14:$F$87,RAB!$C$14:$C$87,C1153)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SUMIFS(RAB!$F$14:$F$87,RAB!$C$14:$C$87,C1154)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SUMIFS(RAB!$F$14:$F$87,RAB!$C$14:$C$87,C1155)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SUMIFS(RAB!$F$14:$F$87,RAB!$C$14:$C$87,C1156)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SUMIFS(RAB!$F$14:$F$87,RAB!$C$14:$C$87,C1157)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SUMIFS(RAB!$F$14:$F$87,RAB!$C$14:$C$87,C1158)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SUMIFS(RAB!$F$14:$F$87,RAB!$C$14:$C$87,C1159)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SUMIFS(RAB!$F$14:$F$87,RAB!$C$14:$C$87,C1160)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SUMIFS(RAB!$F$14:$F$87,RAB!$C$14:$C$87,C1161)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SUMIFS(RAB!$F$14:$F$87,RAB!$C$14:$C$87,C1162)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SUMIFS(RAB!$F$14:$F$87,RAB!$C$14:$C$87,C1163)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SUMIFS(RAB!$F$14:$F$87,RAB!$C$14:$C$87,C1164)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SUMIFS(RAB!$F$14:$F$87,RAB!$C$14:$C$87,C1165)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SUMIFS(RAB!$F$14:$F$87,RAB!$C$14:$C$87,C1166)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SUMIFS(RAB!$F$14:$F$87,RAB!$C$14:$C$87,C1167)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SUMIFS(RAB!$F$14:$F$87,RAB!$C$14:$C$87,C1168)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SUMIFS(RAB!$F$14:$F$87,RAB!$C$14:$C$87,C1169)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SUMIFS(RAB!$F$14:$F$87,RAB!$C$14:$C$87,C1170)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SUMIFS(RAB!$F$14:$F$87,RAB!$C$14:$C$87,C1171)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SUMIFS(RAB!$F$14:$F$87,RAB!$C$14:$C$87,C1172)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SUMIFS(RAB!$F$14:$F$87,RAB!$C$14:$C$87,C1173)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SUMIFS(RAB!$F$14:$F$87,RAB!$C$14:$C$87,C1174)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SUMIFS(RAB!$F$14:$F$87,RAB!$C$14:$C$87,C1175)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SUMIFS(RAB!$F$14:$F$87,RAB!$C$14:$C$87,C1176)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SUMIFS(RAB!$F$14:$F$87,RAB!$C$14:$C$87,C1177)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SUMIFS(RAB!$F$14:$F$87,RAB!$C$14:$C$87,C1178)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SUMIFS(RAB!$F$14:$F$87,RAB!$C$14:$C$87,C1179)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SUMIFS(RAB!$F$14:$F$87,RAB!$C$14:$C$87,C1180)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SUMIFS(RAB!$F$14:$F$87,RAB!$C$14:$C$87,C1181)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SUMIFS(RAB!$F$14:$F$87,RAB!$C$14:$C$87,C1182)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SUMIFS(RAB!$F$14:$F$87,RAB!$C$14:$C$87,C1183)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SUMIFS(RAB!$F$14:$F$87,RAB!$C$14:$C$87,C1184)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SUMIFS(RAB!$F$14:$F$87,RAB!$C$14:$C$87,C1185)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SUMIFS(RAB!$F$14:$F$87,RAB!$C$14:$C$87,C1186)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SUMIFS(RAB!$F$14:$F$87,RAB!$C$14:$C$87,C1187)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SUMIFS(RAB!$F$14:$F$87,RAB!$C$14:$C$87,C1188)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SUMIFS(RAB!$F$14:$F$87,RAB!$C$14:$C$87,C1189)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SUMIFS(RAB!$F$14:$F$87,RAB!$C$14:$C$87,C1190)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SUMIFS(RAB!$F$14:$F$87,RAB!$C$14:$C$87,C1191)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SUMIFS(RAB!$F$14:$F$87,RAB!$C$14:$C$87,C1192)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SUMIFS(RAB!$F$14:$F$87,RAB!$C$14:$C$87,C1193)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SUMIFS(RAB!$F$14:$F$87,RAB!$C$14:$C$87,C1194)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SUMIFS(RAB!$F$14:$F$87,RAB!$C$14:$C$87,C1195)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SUMIFS(RAB!$F$14:$F$87,RAB!$C$14:$C$87,C1196)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SUMIFS(RAB!$F$14:$F$87,RAB!$C$14:$C$87,C1197)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SUMIFS(RAB!$F$14:$F$87,RAB!$C$14:$C$87,C1198)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SUMIFS(RAB!$F$14:$F$87,RAB!$C$14:$C$87,C1199)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SUMIFS(RAB!$F$14:$F$87,RAB!$C$14:$C$87,C1200)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SUMIFS(RAB!$F$14:$F$87,RAB!$C$14:$C$87,C1201)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SUMIFS(RAB!$F$14:$F$87,RAB!$C$14:$C$87,C1202)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SUMIFS(RAB!$F$14:$F$87,RAB!$C$14:$C$87,C1203)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SUMIFS(RAB!$F$14:$F$87,RAB!$C$14:$C$87,C1204)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SUMIFS(RAB!$F$14:$F$87,RAB!$C$14:$C$87,C1205)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SUMIFS(RAB!$F$14:$F$87,RAB!$C$14:$C$87,C1206)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SUMIFS(RAB!$F$14:$F$87,RAB!$C$14:$C$87,C1207)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SUMIFS(RAB!$F$14:$F$87,RAB!$C$14:$C$87,C1208)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SUMIFS(RAB!$F$14:$F$87,RAB!$C$14:$C$87,C1209)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SUMIFS(RAB!$F$14:$F$87,RAB!$C$14:$C$87,C1210)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SUMIFS(RAB!$F$14:$F$87,RAB!$C$14:$C$87,C1211)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SUMIFS(RAB!$F$14:$F$87,RAB!$C$14:$C$87,C1212)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SUMIFS(RAB!$F$14:$F$87,RAB!$C$14:$C$87,C1213)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SUMIFS(RAB!$F$14:$F$87,RAB!$C$14:$C$87,C1214)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SUMIFS(RAB!$F$14:$F$87,RAB!$C$14:$C$87,C1215)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SUMIFS(RAB!$F$14:$F$87,RAB!$C$14:$C$87,C1216)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SUMIFS(RAB!$F$14:$F$87,RAB!$C$14:$C$87,C1217)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SUMIFS(RAB!$F$14:$F$87,RAB!$C$14:$C$87,C1218)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SUMIFS(RAB!$F$14:$F$87,RAB!$C$14:$C$87,C1219)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SUMIFS(RAB!$F$14:$F$87,RAB!$C$14:$C$87,C1220)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SUMIFS(RAB!$F$14:$F$87,RAB!$C$14:$C$87,C1221)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SUMIFS(RAB!$F$14:$F$87,RAB!$C$14:$C$87,C1222)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SUMIFS(RAB!$F$14:$F$87,RAB!$C$14:$C$87,C1223)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SUMIFS(RAB!$F$14:$F$87,RAB!$C$14:$C$87,C1224)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SUMIFS(RAB!$F$14:$F$87,RAB!$C$14:$C$87,C1225)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SUMIFS(RAB!$F$14:$F$87,RAB!$C$14:$C$87,C1226)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SUMIFS(RAB!$F$14:$F$87,RAB!$C$14:$C$87,C1227)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SUMIFS(RAB!$F$14:$F$87,RAB!$C$14:$C$87,C1228)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SUMIFS(RAB!$F$14:$F$87,RAB!$C$14:$C$87,C1229)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SUMIFS(RAB!$F$14:$F$87,RAB!$C$14:$C$87,C1230)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SUMIFS(RAB!$F$14:$F$87,RAB!$C$14:$C$87,C1231)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SUMIFS(RAB!$F$14:$F$87,RAB!$C$14:$C$87,C1232)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SUMIFS(RAB!$F$14:$F$87,RAB!$C$14:$C$87,C1233)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SUMIFS(RAB!$F$14:$F$87,RAB!$C$14:$C$87,C1234)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SUMIFS(RAB!$F$14:$F$87,RAB!$C$14:$C$87,C1235)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SUMIFS(RAB!$F$14:$F$87,RAB!$C$14:$C$87,C1236)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SUMIFS(RAB!$F$14:$F$87,RAB!$C$14:$C$87,C1237)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SUMIFS(RAB!$F$14:$F$87,RAB!$C$14:$C$87,C1238)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SUMIFS(RAB!$F$14:$F$87,RAB!$C$14:$C$87,C1239)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SUMIFS(RAB!$F$14:$F$87,RAB!$C$14:$C$87,C1240)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SUMIFS(RAB!$F$14:$F$87,RAB!$C$14:$C$87,C1241)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SUMIFS(RAB!$F$14:$F$87,RAB!$C$14:$C$87,C1242)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SUMIFS(RAB!$F$14:$F$87,RAB!$C$14:$C$87,C1243)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SUMIFS(RAB!$F$14:$F$87,RAB!$C$14:$C$87,C1244)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SUMIFS(RAB!$F$14:$F$87,RAB!$C$14:$C$87,C1245)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SUMIFS(RAB!$F$14:$F$87,RAB!$C$14:$C$87,C1246)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SUMIFS(RAB!$F$14:$F$87,RAB!$C$14:$C$87,C1247)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SUMIFS(RAB!$F$14:$F$87,RAB!$C$14:$C$87,C1248)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SUMIFS(RAB!$F$14:$F$87,RAB!$C$14:$C$87,C1249)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SUMIFS(RAB!$F$14:$F$87,RAB!$C$14:$C$87,C1250)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SUMIFS(RAB!$F$14:$F$87,RAB!$C$14:$C$87,C1251)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SUMIFS(RAB!$F$14:$F$87,RAB!$C$14:$C$87,C1252)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SUMIFS(RAB!$F$14:$F$87,RAB!$C$14:$C$87,C1253)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SUMIFS(RAB!$F$14:$F$87,RAB!$C$14:$C$87,C1254)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SUMIFS(RAB!$F$14:$F$87,RAB!$C$14:$C$87,C1255)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SUMIFS(RAB!$F$14:$F$87,RAB!$C$14:$C$87,C1256)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SUMIFS(RAB!$F$14:$F$87,RAB!$C$14:$C$87,C1257)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SUMIFS(RAB!$F$14:$F$87,RAB!$C$14:$C$87,C1258)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SUMIFS(RAB!$F$14:$F$87,RAB!$C$14:$C$87,C1259)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SUMIFS(RAB!$F$14:$F$87,RAB!$C$14:$C$87,C1260)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SUMIFS(RAB!$F$14:$F$87,RAB!$C$14:$C$87,C1261)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SUMIFS(RAB!$F$14:$F$87,RAB!$C$14:$C$87,C1262)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SUMIFS(RAB!$F$14:$F$87,RAB!$C$14:$C$87,C1263)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SUMIFS(RAB!$F$14:$F$87,RAB!$C$14:$C$87,C1264)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SUMIFS(RAB!$F$14:$F$87,RAB!$C$14:$C$87,C1265)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SUMIFS(RAB!$F$14:$F$87,RAB!$C$14:$C$87,C1266)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SUMIFS(RAB!$F$14:$F$87,RAB!$C$14:$C$87,C1267)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SUMIFS(RAB!$F$14:$F$87,RAB!$C$14:$C$87,C1268)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SUMIFS(RAB!$F$14:$F$87,RAB!$C$14:$C$87,C1269)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SUMIFS(RAB!$F$14:$F$87,RAB!$C$14:$C$87,C1270)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SUMIFS(RAB!$F$14:$F$87,RAB!$C$14:$C$87,C1271)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SUMIFS(RAB!$F$14:$F$87,RAB!$C$14:$C$87,C1272)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SUMIFS(RAB!$F$14:$F$87,RAB!$C$14:$C$87,C1273)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SUMIFS(RAB!$F$14:$F$87,RAB!$C$14:$C$87,C1274)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SUMIFS(RAB!$F$14:$F$87,RAB!$C$14:$C$87,C1275)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SUMIFS(RAB!$F$14:$F$87,RAB!$C$14:$C$87,C1276)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SUMIFS(RAB!$F$14:$F$87,RAB!$C$14:$C$87,C1277)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SUMIFS(RAB!$F$14:$F$87,RAB!$C$14:$C$87,C1278)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SUMIFS(RAB!$F$14:$F$87,RAB!$C$14:$C$87,C1279)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SUMIFS(RAB!$F$14:$F$87,RAB!$C$14:$C$87,C1280)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SUMIFS(RAB!$F$14:$F$87,RAB!$C$14:$C$87,C1281)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SUMIFS(RAB!$F$14:$F$87,RAB!$C$14:$C$87,C1282)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SUMIFS(RAB!$F$14:$F$87,RAB!$C$14:$C$87,C1283)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SUMIFS(RAB!$F$14:$F$87,RAB!$C$14:$C$87,C1284)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SUMIFS(RAB!$F$14:$F$87,RAB!$C$14:$C$87,C1285)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SUMIFS(RAB!$F$14:$F$87,RAB!$C$14:$C$87,C1286)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SUMIFS(RAB!$F$14:$F$87,RAB!$C$14:$C$87,C1287)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SUMIFS(RAB!$F$14:$F$87,RAB!$C$14:$C$87,C1288)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SUMIFS(RAB!$F$14:$F$87,RAB!$C$14:$C$87,C1289)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SUMIFS(RAB!$F$14:$F$87,RAB!$C$14:$C$87,C1290)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SUMIFS(RAB!$F$14:$F$87,RAB!$C$14:$C$87,C1291)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SUMIFS(RAB!$F$14:$F$87,RAB!$C$14:$C$87,C1292)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SUMIFS(RAB!$F$14:$F$87,RAB!$C$14:$C$87,C1293)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SUMIFS(RAB!$F$14:$F$87,RAB!$C$14:$C$87,C1294)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SUMIFS(RAB!$F$14:$F$87,RAB!$C$14:$C$87,C1295)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SUMIFS(RAB!$F$14:$F$87,RAB!$C$14:$C$87,C1296)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SUMIFS(RAB!$F$14:$F$87,RAB!$C$14:$C$87,C1297)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SUMIFS(RAB!$F$14:$F$87,RAB!$C$14:$C$87,C1298)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SUMIFS(RAB!$F$14:$F$87,RAB!$C$14:$C$87,C1299)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SUMIFS(RAB!$F$14:$F$87,RAB!$C$14:$C$87,C1300)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SUMIFS(RAB!$F$14:$F$87,RAB!$C$14:$C$87,C1301)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SUMIFS(RAB!$F$14:$F$87,RAB!$C$14:$C$87,C1302)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SUMIFS(RAB!$F$14:$F$87,RAB!$C$14:$C$87,C1303)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SUMIFS(RAB!$F$14:$F$87,RAB!$C$14:$C$87,C1304)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SUMIFS(RAB!$F$14:$F$87,RAB!$C$14:$C$87,C1305)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SUMIFS(RAB!$F$14:$F$87,RAB!$C$14:$C$87,C1306)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SUMIFS(RAB!$F$14:$F$87,RAB!$C$14:$C$87,C1307)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SUMIFS(RAB!$F$14:$F$87,RAB!$C$14:$C$87,C1308)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SUMIFS(RAB!$F$14:$F$87,RAB!$C$14:$C$87,C1309)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SUMIFS(RAB!$F$14:$F$87,RAB!$C$14:$C$87,C1310)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SUMIFS(RAB!$F$14:$F$87,RAB!$C$14:$C$87,C1311)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SUMIFS(RAB!$F$14:$F$87,RAB!$C$14:$C$87,C1312)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SUMIFS(RAB!$F$14:$F$87,RAB!$C$14:$C$87,C1313)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SUMIFS(RAB!$F$14:$F$87,RAB!$C$14:$C$87,C1314)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SUMIFS(RAB!$F$14:$F$87,RAB!$C$14:$C$87,C1315)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SUMIFS(RAB!$F$14:$F$87,RAB!$C$14:$C$87,C1316)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SUMIFS(RAB!$F$14:$F$87,RAB!$C$14:$C$87,C1317)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SUMIFS(RAB!$F$14:$F$87,RAB!$C$14:$C$87,C1318)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SUMIFS(RAB!$F$14:$F$87,RAB!$C$14:$C$87,C1319)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SUMIFS(RAB!$F$14:$F$87,RAB!$C$14:$C$87,C1320)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1" priority="5" operator="equal">
      <formula>0</formula>
    </cfRule>
  </conditionalFormatting>
  <conditionalFormatting sqref="A10:L65536">
    <cfRule type="cellIs" dxfId="50" priority="1" operator="equal">
      <formula>0</formula>
    </cfRule>
  </conditionalFormatting>
  <conditionalFormatting sqref="C12:C711">
    <cfRule type="cellIs" dxfId="49" priority="66" stopIfTrue="1" operator="equal">
      <formula>0</formula>
    </cfRule>
  </conditionalFormatting>
  <conditionalFormatting sqref="E712:E65536">
    <cfRule type="cellIs" dxfId="48" priority="16" stopIfTrue="1" operator="equal">
      <formula>0</formula>
    </cfRule>
  </conditionalFormatting>
  <conditionalFormatting sqref="G1:G11 E6:E11 E1:E3 H7 H10:H11 F10:F711 G712:G65536">
    <cfRule type="cellIs" dxfId="47" priority="69" stopIfTrue="1" operator="equal">
      <formula>0</formula>
    </cfRule>
  </conditionalFormatting>
  <conditionalFormatting sqref="G12:H711">
    <cfRule type="cellIs" dxfId="46" priority="12" stopIfTrue="1" operator="equal">
      <formula>0</formula>
    </cfRule>
  </conditionalFormatting>
  <conditionalFormatting sqref="I7:K7">
    <cfRule type="cellIs" dxfId="45" priority="4" stopIfTrue="1" operator="equal">
      <formula>0</formula>
    </cfRule>
  </conditionalFormatting>
  <conditionalFormatting sqref="I10:L711">
    <cfRule type="cellIs" dxfId="44" priority="2" stopIfTrue="1" operator="equal">
      <formula>0</formula>
    </cfRule>
  </conditionalFormatting>
  <conditionalFormatting sqref="L1:L6">
    <cfRule type="cellIs" dxfId="43" priority="10" operator="equal">
      <formula>0</formula>
    </cfRule>
  </conditionalFormatting>
  <conditionalFormatting sqref="M1:IV1048576 A8:G9">
    <cfRule type="cellIs" dxfId="4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1127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5" t="str">
        <f>RAB!G6</f>
        <v>KOS ERNA TRI PUJIASTUTI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BOGORAME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9" t="s">
        <v>41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46</v>
      </c>
      <c r="I12" s="546" t="s">
        <v>5</v>
      </c>
      <c r="J12" s="538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11600000</v>
      </c>
      <c r="J16" s="42">
        <f t="shared" ca="1" si="3"/>
        <v>0</v>
      </c>
      <c r="K16" s="43">
        <f t="shared" ca="1" si="0"/>
        <v>11600000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6" t="s">
        <v>1008</v>
      </c>
      <c r="D38" s="556"/>
      <c r="E38" s="556"/>
      <c r="F38" s="556"/>
      <c r="G38" s="77" t="s">
        <v>9</v>
      </c>
      <c r="H38" s="55">
        <f ca="1">SUM(H14:H37)</f>
        <v>0</v>
      </c>
      <c r="I38" s="55">
        <f ca="1">SUM(I14:I37)</f>
        <v>11600000</v>
      </c>
      <c r="J38" s="55">
        <f ca="1">SUM(J14:J37)</f>
        <v>0</v>
      </c>
      <c r="K38" s="55">
        <f ca="1">SUM(K14:K37)</f>
        <v>11600000</v>
      </c>
      <c r="L38" s="44"/>
      <c r="R38" s="99"/>
      <c r="S38" s="99"/>
      <c r="T38" s="99"/>
    </row>
    <row r="39" spans="1:20" s="36" customFormat="1">
      <c r="A39" s="30"/>
      <c r="B39" s="56"/>
      <c r="C39" s="557" t="s">
        <v>462</v>
      </c>
      <c r="D39" s="557"/>
      <c r="E39" s="557"/>
      <c r="F39" s="557"/>
      <c r="G39" s="59" t="s">
        <v>9</v>
      </c>
      <c r="H39" s="60">
        <f ca="1">H38*0.1</f>
        <v>0</v>
      </c>
      <c r="I39" s="60">
        <f ca="1">I38*0.1</f>
        <v>1160000</v>
      </c>
      <c r="J39" s="60">
        <f ca="1">J38*0.1</f>
        <v>0</v>
      </c>
      <c r="K39" s="60">
        <f ca="1">K38*0.1</f>
        <v>1160000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8" t="s">
        <v>463</v>
      </c>
      <c r="D40" s="548"/>
      <c r="E40" s="548"/>
      <c r="F40" s="548"/>
      <c r="G40" s="61" t="s">
        <v>9</v>
      </c>
      <c r="H40" s="78">
        <f ca="1">SUM(H38:H39)</f>
        <v>0</v>
      </c>
      <c r="I40" s="78">
        <f ca="1">SUM(I38:I39)</f>
        <v>12760000</v>
      </c>
      <c r="J40" s="61">
        <f ca="1">SUM(J38:J39)</f>
        <v>0</v>
      </c>
      <c r="K40" s="61">
        <f ca="1">SUM(K38:K39)</f>
        <v>12760000</v>
      </c>
      <c r="L40" s="44"/>
      <c r="R40" s="99"/>
      <c r="S40" s="99"/>
      <c r="T40" s="99"/>
    </row>
    <row r="41" spans="1:20" s="36" customFormat="1">
      <c r="A41" s="30"/>
      <c r="B41" s="549" t="e">
        <f ca="1">"Terbilang : ( "&amp;L42&amp;" Rupiah )"</f>
        <v>#NAME?</v>
      </c>
      <c r="C41" s="550"/>
      <c r="D41" s="550"/>
      <c r="E41" s="550"/>
      <c r="F41" s="550"/>
      <c r="G41" s="550"/>
      <c r="H41" s="550"/>
      <c r="I41" s="550"/>
      <c r="J41" s="550"/>
      <c r="K41" s="551"/>
      <c r="L41" s="44"/>
      <c r="R41" s="58"/>
      <c r="S41" s="58"/>
      <c r="T41" s="58"/>
    </row>
    <row r="42" spans="1:20" s="36" customFormat="1">
      <c r="A42" s="30"/>
      <c r="B42" s="552"/>
      <c r="C42" s="553"/>
      <c r="D42" s="553"/>
      <c r="E42" s="553"/>
      <c r="F42" s="553"/>
      <c r="G42" s="553"/>
      <c r="H42" s="553"/>
      <c r="I42" s="553"/>
      <c r="J42" s="553"/>
      <c r="K42" s="554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3"/>
      <c r="I45" s="543"/>
      <c r="J45" s="544"/>
      <c r="K45" s="54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3"/>
      <c r="I46" s="543"/>
      <c r="J46" s="544"/>
      <c r="K46" s="54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3"/>
      <c r="I47" s="543"/>
      <c r="J47" s="544"/>
      <c r="K47" s="54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3"/>
      <c r="I52" s="543"/>
      <c r="J52" s="544"/>
      <c r="K52" s="54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SUMIFS(RAB!$F$14:$F$87,RAB!$C$14:$C$87,'REKAP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SUMIFS(RAB!$F$14:$F$87,RAB!$C$14:$C$87,'REKAP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SUMIFS(RAB!$F$14:$F$87,RAB!$C$14:$C$87,'REKAP TIANG'!C59)</f>
        <v>2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SUMIFS(RAB!$F$14:$F$87,RAB!$C$14:$C$87,'REKAP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SUMIFS(RAB!$F$14:$F$87,RAB!$C$14:$C$87,'REKAP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SUMIFS(RAB!$F$14:$F$87,RAB!$C$14:$C$87,'REKAP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SUMIFS(RAB!$F$14:$F$87,RAB!$C$14:$C$87,'REKAP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SUMIFS(RAB!$F$14:$F$87,RAB!$C$14:$C$87,'REKAP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SUMIFS(RAB!$F$14:$F$87,RAB!$C$14:$C$87,'REKAP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SUMIFS(RAB!$F$14:$F$87,RAB!$C$14:$C$87,'REKAP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SUMIFS(RAB!$F$14:$F$87,RAB!$C$14:$C$87,'REKAP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SUMIFS(RAB!$F$14:$F$87,RAB!$C$14:$C$87,'REKAP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SUMIFS(RAB!$F$14:$F$87,RAB!$C$14:$C$87,'REKAP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SUMIFS(RAB!$F$14:$F$87,RAB!$C$14:$C$87,'REKAP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SUMIFS(RAB!$F$14:$F$87,RAB!$C$14:$C$87,'REKAP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SUMIFS(RAB!$F$14:$F$87,RAB!$C$14:$C$87,'REKAP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SUMIFS(RAB!$F$14:$F$87,RAB!$C$14:$C$87,'REKAP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SUMIFS(RAB!$F$14:$F$87,RAB!$C$14:$C$87,'REKAP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SUMIFS(RAB!$F$14:$F$87,RAB!$C$14:$C$87,'REKAP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SUMIFS(RAB!$F$14:$F$87,RAB!$C$14:$C$87,'REKAP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1034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5" t="str">
        <f>RAB!G6</f>
        <v>KOS ERNA TRI PUJIASTUTI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BOGORAME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9" t="s">
        <v>41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46</v>
      </c>
      <c r="I12" s="546" t="s">
        <v>5</v>
      </c>
      <c r="J12" s="538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13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4258800</v>
      </c>
      <c r="I16" s="42">
        <f t="shared" ca="1" si="2"/>
        <v>0</v>
      </c>
      <c r="J16" s="42">
        <f t="shared" ca="1" si="3"/>
        <v>0</v>
      </c>
      <c r="K16" s="43">
        <f t="shared" ca="1" si="0"/>
        <v>4258800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13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507000</v>
      </c>
      <c r="I17" s="42">
        <f t="shared" ca="1" si="2"/>
        <v>0</v>
      </c>
      <c r="J17" s="42">
        <f t="shared" ca="1" si="3"/>
        <v>0</v>
      </c>
      <c r="K17" s="43">
        <f t="shared" ca="1" si="0"/>
        <v>507000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80</v>
      </c>
      <c r="G18" s="41">
        <f ca="1">IF(ISERROR(OFFSET('HARGA SATUAN'!$I$6,MATCH(C18,'HARGA SATUAN'!$C$7:$C$1492,0),0)),"",OFFSET('HARGA SATUAN'!$I$6,MATCH(C18,'HARGA SATUAN'!$C$7:$C$1492,0),0))</f>
        <v>53300</v>
      </c>
      <c r="H18" s="42">
        <f t="shared" ca="1" si="1"/>
        <v>4264000</v>
      </c>
      <c r="I18" s="42">
        <f t="shared" ca="1" si="2"/>
        <v>0</v>
      </c>
      <c r="J18" s="42">
        <f t="shared" ca="1" si="3"/>
        <v>0</v>
      </c>
      <c r="K18" s="43">
        <f t="shared" ca="1" si="0"/>
        <v>4264000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20</v>
      </c>
      <c r="G19" s="41">
        <f ca="1">IF(ISERROR(OFFSET('HARGA SATUAN'!$I$6,MATCH(C19,'HARGA SATUAN'!$C$7:$C$1492,0),0)),"",OFFSET('HARGA SATUAN'!$I$6,MATCH(C19,'HARGA SATUAN'!$C$7:$C$1492,0),0))</f>
        <v>6600</v>
      </c>
      <c r="H19" s="42">
        <f t="shared" ca="1" si="1"/>
        <v>132000</v>
      </c>
      <c r="I19" s="42">
        <f t="shared" ca="1" si="2"/>
        <v>0</v>
      </c>
      <c r="J19" s="42">
        <f t="shared" ca="1" si="3"/>
        <v>0</v>
      </c>
      <c r="K19" s="43">
        <f t="shared" ca="1" si="0"/>
        <v>132000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6" t="s">
        <v>1008</v>
      </c>
      <c r="D168" s="556"/>
      <c r="E168" s="556"/>
      <c r="F168" s="556"/>
      <c r="G168" s="77" t="s">
        <v>9</v>
      </c>
      <c r="H168" s="55">
        <f ca="1">SUM(H14:H167)</f>
        <v>9161800</v>
      </c>
      <c r="I168" s="55">
        <f ca="1">SUM(I14:I167)</f>
        <v>0</v>
      </c>
      <c r="J168" s="55">
        <f ca="1">SUM(J14:J167)</f>
        <v>0</v>
      </c>
      <c r="K168" s="55">
        <f ca="1">SUM(K14:K167)</f>
        <v>9161800</v>
      </c>
      <c r="L168" s="44"/>
      <c r="R168" s="99"/>
      <c r="S168" s="99"/>
      <c r="T168" s="99"/>
    </row>
    <row r="169" spans="1:20" s="36" customFormat="1">
      <c r="A169" s="30"/>
      <c r="B169" s="56"/>
      <c r="C169" s="557" t="s">
        <v>462</v>
      </c>
      <c r="D169" s="557"/>
      <c r="E169" s="557"/>
      <c r="F169" s="557"/>
      <c r="G169" s="59" t="s">
        <v>9</v>
      </c>
      <c r="H169" s="60">
        <f ca="1">H168*0.1</f>
        <v>916180</v>
      </c>
      <c r="I169" s="60">
        <f ca="1">I168*0.1</f>
        <v>0</v>
      </c>
      <c r="J169" s="60">
        <f ca="1">J168*0.1</f>
        <v>0</v>
      </c>
      <c r="K169" s="60">
        <f ca="1">K168*0.1</f>
        <v>916180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8" t="s">
        <v>463</v>
      </c>
      <c r="D170" s="548"/>
      <c r="E170" s="548"/>
      <c r="F170" s="548"/>
      <c r="G170" s="61" t="s">
        <v>9</v>
      </c>
      <c r="H170" s="78">
        <f ca="1">SUM(H168:H169)</f>
        <v>10077980</v>
      </c>
      <c r="I170" s="78">
        <f ca="1">SUM(I168:I169)</f>
        <v>0</v>
      </c>
      <c r="J170" s="61">
        <f ca="1">SUM(J168:J169)</f>
        <v>0</v>
      </c>
      <c r="K170" s="61">
        <f ca="1">SUM(K168:K169)</f>
        <v>10077980</v>
      </c>
      <c r="L170" s="44"/>
      <c r="R170" s="99"/>
      <c r="S170" s="99"/>
      <c r="T170" s="99"/>
    </row>
    <row r="171" spans="1:20" s="36" customFormat="1">
      <c r="A171" s="30"/>
      <c r="B171" s="549" t="e">
        <f ca="1">"Terbilang : ( "&amp;L172&amp;" Rupiah )"</f>
        <v>#NAME?</v>
      </c>
      <c r="C171" s="550"/>
      <c r="D171" s="550"/>
      <c r="E171" s="550"/>
      <c r="F171" s="550"/>
      <c r="G171" s="550"/>
      <c r="H171" s="550"/>
      <c r="I171" s="550"/>
      <c r="J171" s="550"/>
      <c r="K171" s="551"/>
      <c r="L171" s="44"/>
      <c r="R171" s="58"/>
      <c r="S171" s="58"/>
      <c r="T171" s="58"/>
    </row>
    <row r="172" spans="1:20" s="36" customFormat="1">
      <c r="A172" s="30"/>
      <c r="B172" s="552"/>
      <c r="C172" s="553"/>
      <c r="D172" s="553"/>
      <c r="E172" s="553"/>
      <c r="F172" s="553"/>
      <c r="G172" s="553"/>
      <c r="H172" s="553"/>
      <c r="I172" s="553"/>
      <c r="J172" s="553"/>
      <c r="K172" s="554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3"/>
      <c r="I175" s="543"/>
      <c r="J175" s="544"/>
      <c r="K175" s="54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3"/>
      <c r="I176" s="543"/>
      <c r="J176" s="544"/>
      <c r="K176" s="54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3"/>
      <c r="I177" s="543"/>
      <c r="J177" s="544"/>
      <c r="K177" s="54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3"/>
      <c r="I182" s="543"/>
      <c r="J182" s="544"/>
      <c r="K182" s="54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SUMIFS(RAB!$F$14:$F$87,RAB!$C$14:$C$87,C224)</f>
        <v>13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SUMIFS(RAB!$F$14:$F$87,RAB!$C$14:$C$87,C225)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SUMIFS(RAB!$F$14:$F$87,RAB!$C$14:$C$87,C226)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SUMIFS(RAB!$F$14:$F$87,RAB!$C$14:$C$87,C227)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SUMIFS(RAB!$F$14:$F$87,RAB!$C$14:$C$87,C228)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SUMIFS(RAB!$F$14:$F$87,RAB!$C$14:$C$87,C229)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SUMIFS(RAB!$F$14:$F$87,RAB!$C$14:$C$87,C230)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SUMIFS(RAB!$F$14:$F$87,RAB!$C$14:$C$87,C231)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SUMIFS(RAB!$F$14:$F$87,RAB!$C$14:$C$87,C232)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SUMIFS(RAB!$F$14:$F$87,RAB!$C$14:$C$87,C233)</f>
        <v>13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SUMIFS(RAB!$F$14:$F$87,RAB!$C$14:$C$87,C234)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SUMIFS(RAB!$F$14:$F$87,RAB!$C$14:$C$87,C235)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SUMIFS(RAB!$F$14:$F$87,RAB!$C$14:$C$87,C236)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SUMIFS(RAB!$F$14:$F$87,RAB!$C$14:$C$87,C237)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SUMIFS(RAB!$F$14:$F$87,RAB!$C$14:$C$87,C238)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SUMIFS(RAB!$F$14:$F$87,RAB!$C$14:$C$87,C239)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SUMIFS(RAB!$F$14:$F$87,RAB!$C$14:$C$87,C240)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SUMIFS(RAB!$F$14:$F$87,RAB!$C$14:$C$87,C241)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SUMIFS(RAB!$F$14:$F$87,RAB!$C$14:$C$87,C242)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SUMIFS(RAB!$F$14:$F$87,RAB!$C$14:$C$87,C243)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SUMIFS(RAB!$F$14:$F$87,RAB!$C$14:$C$87,C244)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SUMIFS(RAB!$F$14:$F$87,RAB!$C$14:$C$87,C245)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SUMIFS(RAB!$F$14:$F$87,RAB!$C$14:$C$87,C246)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SUMIFS(RAB!$F$14:$F$87,RAB!$C$14:$C$87,C247)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SUMIFS(RAB!$F$14:$F$87,RAB!$C$14:$C$87,C248)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SUMIFS(RAB!$F$14:$F$87,RAB!$C$14:$C$87,C249)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SUMIFS(RAB!$F$14:$F$87,RAB!$C$14:$C$87,C250)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SUMIFS(RAB!$F$14:$F$87,RAB!$C$14:$C$87,C251)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SUMIFS(RAB!$F$14:$F$87,RAB!$C$14:$C$87,C252)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SUMIFS(RAB!$F$14:$F$87,RAB!$C$14:$C$87,C253)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SUMIFS(RAB!$F$14:$F$87,RAB!$C$14:$C$87,C254)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SUMIFS(RAB!$F$14:$F$87,RAB!$C$14:$C$87,C255)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SUMIFS(RAB!$F$14:$F$87,RAB!$C$14:$C$87,C256)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SUMIFS(RAB!$F$14:$F$87,RAB!$C$14:$C$87,C257)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SUMIFS(RAB!$F$14:$F$87,RAB!$C$14:$C$87,C258)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SUMIFS(RAB!$F$14:$F$87,RAB!$C$14:$C$87,C259)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SUMIFS(RAB!$F$14:$F$87,RAB!$C$14:$C$87,C260)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SUMIFS(RAB!$F$14:$F$87,RAB!$C$14:$C$87,C261)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SUMIFS(RAB!$F$14:$F$87,RAB!$C$14:$C$87,C262)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SUMIFS(RAB!$F$14:$F$87,RAB!$C$14:$C$87,C263)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SUMIFS(RAB!$F$14:$F$87,RAB!$C$14:$C$87,C264)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SUMIFS(RAB!$F$14:$F$87,RAB!$C$14:$C$87,C265)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SUMIFS(RAB!$F$14:$F$87,RAB!$C$14:$C$87,C266)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SUMIFS(RAB!$F$14:$F$87,RAB!$C$14:$C$87,C267)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SUMIFS(RAB!$F$14:$F$87,RAB!$C$14:$C$87,C268)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SUMIFS(RAB!$F$14:$F$87,RAB!$C$14:$C$87,C269)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SUMIFS(RAB!$F$14:$F$87,RAB!$C$14:$C$87,C270)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SUMIFS(RAB!$F$14:$F$87,RAB!$C$14:$C$87,C271)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SUMIFS(RAB!$F$14:$F$87,RAB!$C$14:$C$87,C272)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SUMIFS(RAB!$F$14:$F$87,RAB!$C$14:$C$87,C273)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SUMIFS(RAB!$F$14:$F$87,RAB!$C$14:$C$87,C274)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SUMIFS(RAB!$F$14:$F$87,RAB!$C$14:$C$87,C275)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SUMIFS(RAB!$F$14:$F$87,RAB!$C$14:$C$87,C276)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SUMIFS(RAB!$F$14:$F$87,RAB!$C$14:$C$87,C277)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SUMIFS(RAB!$F$14:$F$87,RAB!$C$14:$C$87,C278)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SUMIFS(RAB!$F$14:$F$87,RAB!$C$14:$C$87,C279)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SUMIFS(RAB!$F$14:$F$87,RAB!$C$14:$C$87,C280)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SUMIFS(RAB!$F$14:$F$87,RAB!$C$14:$C$87,C281)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SUMIFS(RAB!$F$14:$F$87,RAB!$C$14:$C$87,C282)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SUMIFS(RAB!$F$14:$F$87,RAB!$C$14:$C$87,C283)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SUMIFS(RAB!$F$14:$F$87,RAB!$C$14:$C$87,C284)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SUMIFS(RAB!$F$14:$F$87,RAB!$C$14:$C$87,C285)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SUMIFS(RAB!$F$14:$F$87,RAB!$C$14:$C$87,C286)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SUMIFS(RAB!$F$14:$F$87,RAB!$C$14:$C$87,C287)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SUMIFS(RAB!$F$14:$F$87,RAB!$C$14:$C$87,C288)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SUMIFS(RAB!$F$14:$F$87,RAB!$C$14:$C$87,C289)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SUMIFS(RAB!$F$14:$F$87,RAB!$C$14:$C$87,C290)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SUMIFS(RAB!$F$14:$F$87,RAB!$C$14:$C$87,C291)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SUMIFS(RAB!$F$14:$F$87,RAB!$C$14:$C$87,C292)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SUMIFS(RAB!$F$14:$F$87,RAB!$C$14:$C$87,C293)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SUMIFS(RAB!$F$14:$F$87,RAB!$C$14:$C$87,C294)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SUMIFS(RAB!$F$14:$F$87,RAB!$C$14:$C$87,C295)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SUMIFS(RAB!$F$14:$F$87,RAB!$C$14:$C$87,C296)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SUMIFS(RAB!$F$14:$F$87,RAB!$C$14:$C$87,C297)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SUMIFS(RAB!$F$14:$F$87,RAB!$C$14:$C$87,C298)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SUMIFS(RAB!$F$14:$F$87,RAB!$C$14:$C$87,C299)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SUMIFS(RAB!$F$14:$F$87,RAB!$C$14:$C$87,C300)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SUMIFS(RAB!$F$14:$F$87,RAB!$C$14:$C$87,C301)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SUMIFS(RAB!$F$14:$F$87,RAB!$C$14:$C$87,C302)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SUMIFS(RAB!$F$14:$F$87,RAB!$C$14:$C$87,C303)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SUMIFS(RAB!$F$14:$F$87,RAB!$C$14:$C$87,C304)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SUMIFS(RAB!$F$14:$F$87,RAB!$C$14:$C$87,C305)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SUMIFS(RAB!$F$14:$F$87,RAB!$C$14:$C$87,C306)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SUMIFS(RAB!$F$14:$F$87,RAB!$C$14:$C$87,C307)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SUMIFS(RAB!$F$14:$F$87,RAB!$C$14:$C$87,C308)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SUMIFS(RAB!$F$14:$F$87,RAB!$C$14:$C$87,C309)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SUMIFS(RAB!$F$14:$F$87,RAB!$C$14:$C$87,C310)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SUMIFS(RAB!$F$14:$F$87,RAB!$C$14:$C$87,C311)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SUMIFS(RAB!$F$14:$F$87,RAB!$C$14:$C$87,C312)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SUMIFS(RAB!$F$14:$F$87,RAB!$C$14:$C$87,C313)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SUMIFS(RAB!$F$14:$F$87,RAB!$C$14:$C$87,C314)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SUMIFS(RAB!$F$14:$F$87,RAB!$C$14:$C$87,C315)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SUMIFS(RAB!$F$14:$F$87,RAB!$C$14:$C$87,C316)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SUMIFS(RAB!$F$14:$F$87,RAB!$C$14:$C$87,C317)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SUMIFS(RAB!$F$14:$F$87,RAB!$C$14:$C$87,C318)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SUMIFS(RAB!$F$14:$F$87,RAB!$C$14:$C$87,C319)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SUMIFS(RAB!$F$14:$F$87,RAB!$C$14:$C$87,C320)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SUMIFS(RAB!$F$14:$F$87,RAB!$C$14:$C$87,C321)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SUMIFS(RAB!$F$14:$F$87,RAB!$C$14:$C$87,C322)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SUMIFS(RAB!$F$14:$F$87,RAB!$C$14:$C$87,C323)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SUMIFS(RAB!$F$14:$F$87,RAB!$C$14:$C$87,C324)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SUMIFS(RAB!$F$14:$F$87,RAB!$C$14:$C$87,C325)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SUMIFS(RAB!$F$14:$F$87,RAB!$C$14:$C$87,C326)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SUMIFS(RAB!$F$14:$F$87,RAB!$C$14:$C$87,C327)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SUMIFS(RAB!$F$14:$F$87,RAB!$C$14:$C$87,C328)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SUMIFS(RAB!$F$14:$F$87,RAB!$C$14:$C$87,C329)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SUMIFS(RAB!$F$14:$F$87,RAB!$C$14:$C$87,C330)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SUMIFS(RAB!$F$14:$F$87,RAB!$C$14:$C$87,C331)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SUMIFS(RAB!$F$14:$F$87,RAB!$C$14:$C$87,C332)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SUMIFS(RAB!$F$14:$F$87,RAB!$C$14:$C$87,C333)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SUMIFS(RAB!$F$14:$F$87,RAB!$C$14:$C$87,C334)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SUMIFS(RAB!$F$14:$F$87,RAB!$C$14:$C$87,C335)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SUMIFS(RAB!$F$14:$F$87,RAB!$C$14:$C$87,C336)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SUMIFS(RAB!$F$14:$F$87,RAB!$C$14:$C$87,C337)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SUMIFS(RAB!$F$14:$F$87,RAB!$C$14:$C$87,C338)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SUMIFS(RAB!$F$14:$F$87,RAB!$C$14:$C$87,C339)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SUMIFS(RAB!$F$14:$F$87,RAB!$C$14:$C$87,C340)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SUMIFS(RAB!$F$14:$F$87,RAB!$C$14:$C$87,C341)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SUMIFS(RAB!$F$14:$F$87,RAB!$C$14:$C$87,C342)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SUMIFS(RAB!$F$14:$F$87,RAB!$C$14:$C$87,C343)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SUMIFS(RAB!$F$14:$F$87,RAB!$C$14:$C$87,C344)</f>
        <v>80</v>
      </c>
      <c r="E344" s="24">
        <f t="shared" ca="1" si="22"/>
        <v>1</v>
      </c>
      <c r="F344" s="24">
        <f ca="1">IF(D344=0,0,SUM($E$223:E344))</f>
        <v>3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SUMIFS(RAB!$F$14:$F$87,RAB!$C$14:$C$87,C345)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SUMIFS(RAB!$F$14:$F$87,RAB!$C$14:$C$87,C346)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SUMIFS(RAB!$F$14:$F$87,RAB!$C$14:$C$87,C347)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SUMIFS(RAB!$F$14:$F$87,RAB!$C$14:$C$87,C348)</f>
        <v>20</v>
      </c>
      <c r="E348" s="24">
        <f t="shared" ca="1" si="22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SUMIFS(RAB!$F$14:$F$87,RAB!$C$14:$C$87,C349)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SUMIFS(RAB!$F$14:$F$87,RAB!$C$14:$C$87,C350)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SUMIFS(RAB!$F$14:$F$87,RAB!$C$14:$C$87,C351)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SUMIFS(RAB!$F$14:$F$87,RAB!$C$14:$C$87,C352)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SUMIFS(RAB!$F$14:$F$87,RAB!$C$14:$C$87,C353)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SUMIFS(RAB!$F$14:$F$87,RAB!$C$14:$C$87,C354)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SUMIFS(RAB!$F$14:$F$87,RAB!$C$14:$C$87,C355)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SUMIFS(RAB!$F$14:$F$87,RAB!$C$14:$C$87,C356)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SUMIFS(RAB!$F$14:$F$87,RAB!$C$14:$C$87,C357)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SUMIFS(RAB!$F$14:$F$87,RAB!$C$14:$C$87,C358)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SUMIFS(RAB!$F$14:$F$87,RAB!$C$14:$C$87,C359)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SUMIFS(RAB!$F$14:$F$87,RAB!$C$14:$C$87,C360)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SUMIFS(RAB!$F$14:$F$87,RAB!$C$14:$C$87,C361)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SUMIFS(RAB!$F$14:$F$87,RAB!$C$14:$C$87,C362)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SUMIFS(RAB!$F$14:$F$87,RAB!$C$14:$C$87,C363)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SUMIFS(RAB!$F$14:$F$87,RAB!$C$14:$C$87,C364)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SUMIFS(RAB!$F$14:$F$87,RAB!$C$14:$C$87,C365)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SUMIFS(RAB!$F$14:$F$87,RAB!$C$14:$C$87,C366)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SUMIFS(RAB!$F$14:$F$87,RAB!$C$14:$C$87,C367)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SUMIFS(RAB!$F$14:$F$87,RAB!$C$14:$C$87,C368)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SUMIFS(RAB!$F$14:$F$87,RAB!$C$14:$C$87,C369)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SUMIFS(RAB!$F$14:$F$87,RAB!$C$14:$C$87,C370)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SUMIFS(RAB!$F$14:$F$87,RAB!$C$14:$C$87,C371)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SUMIFS(RAB!$F$14:$F$87,RAB!$C$14:$C$87,C372)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SUMIFS(RAB!$F$14:$F$87,RAB!$C$14:$C$87,C373)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9" priority="5" operator="equal">
      <formula>0</formula>
    </cfRule>
  </conditionalFormatting>
  <conditionalFormatting sqref="C16:C165">
    <cfRule type="cellIs" dxfId="38" priority="4" stopIfTrue="1" operator="equal">
      <formula>0</formula>
    </cfRule>
  </conditionalFormatting>
  <conditionalFormatting sqref="C16:E165">
    <cfRule type="cellIs" dxfId="37" priority="1" operator="equal">
      <formula>0</formula>
    </cfRule>
  </conditionalFormatting>
  <conditionalFormatting sqref="D224:F373">
    <cfRule type="cellIs" dxfId="36" priority="8" operator="equal">
      <formula>0</formula>
    </cfRule>
  </conditionalFormatting>
  <conditionalFormatting sqref="E1:E3 G1:G115 E6:E15 H12:I12 N13 F14:F15 H14:K115 E166:K166 G166:G223 E167:F167 H167:K167">
    <cfRule type="cellIs" dxfId="35" priority="43" stopIfTrue="1" operator="equal">
      <formula>0</formula>
    </cfRule>
  </conditionalFormatting>
  <conditionalFormatting sqref="E171:E65536">
    <cfRule type="cellIs" dxfId="34" priority="9" stopIfTrue="1" operator="equal">
      <formula>0</formula>
    </cfRule>
  </conditionalFormatting>
  <conditionalFormatting sqref="G224">
    <cfRule type="cellIs" dxfId="33" priority="10" operator="equal">
      <formula>0</formula>
    </cfRule>
  </conditionalFormatting>
  <conditionalFormatting sqref="G225:G65536">
    <cfRule type="cellIs" dxfId="32" priority="14" stopIfTrue="1" operator="equal">
      <formula>0</formula>
    </cfRule>
  </conditionalFormatting>
  <conditionalFormatting sqref="R14:T166 G116:K165">
    <cfRule type="cellIs" dxfId="3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04" activePane="bottomRight" state="frozen"/>
      <selection activeCell="D209" sqref="D209"/>
      <selection pane="topRight" activeCell="D209" sqref="D209"/>
      <selection pane="bottomLeft" activeCell="D209" sqref="D209"/>
      <selection pane="bottomRight" activeCell="C924" sqref="C92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9" t="s">
        <v>41</v>
      </c>
      <c r="C2" s="55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0" t="s">
        <v>23</v>
      </c>
      <c r="C4" s="561" t="s">
        <v>1012</v>
      </c>
      <c r="D4" s="561" t="s">
        <v>42</v>
      </c>
      <c r="E4" s="560" t="s">
        <v>43</v>
      </c>
      <c r="F4" s="108" t="s">
        <v>1607</v>
      </c>
      <c r="G4" s="108" t="s">
        <v>1606</v>
      </c>
      <c r="H4" s="558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0"/>
      <c r="C5" s="561"/>
      <c r="D5" s="561"/>
      <c r="E5" s="560"/>
      <c r="F5" s="93"/>
      <c r="G5" s="93"/>
      <c r="H5" s="558"/>
      <c r="I5" s="193" t="s">
        <v>1606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1550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1551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1552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1553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1554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1555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1556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1557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1558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1559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1560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1561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1562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1563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1564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1565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1566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1567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1568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1569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1570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1571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1572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1573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1574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1575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1576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1577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1578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1579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1580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1581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1582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1583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1584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1585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1586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1587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1588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1589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1590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1591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1592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1593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1594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1595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1596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1597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1598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1599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1600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1601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1602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1603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1604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1605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0" priority="138" operator="equal">
      <formula>0</formula>
    </cfRule>
  </conditionalFormatting>
  <conditionalFormatting sqref="B8:C135">
    <cfRule type="cellIs" dxfId="29" priority="51" operator="equal">
      <formula>0</formula>
    </cfRule>
  </conditionalFormatting>
  <conditionalFormatting sqref="B150:G1493">
    <cfRule type="cellIs" dxfId="28" priority="1" operator="equal">
      <formula>0</formula>
    </cfRule>
  </conditionalFormatting>
  <conditionalFormatting sqref="C143:G149">
    <cfRule type="cellIs" dxfId="27" priority="5" operator="equal">
      <formula>0</formula>
    </cfRule>
  </conditionalFormatting>
  <conditionalFormatting sqref="D9:G142">
    <cfRule type="cellIs" dxfId="26" priority="11" operator="equal">
      <formula>0</formula>
    </cfRule>
  </conditionalFormatting>
  <conditionalFormatting sqref="D1:IV5 A1:C7 D6:K6 H1455:IV1457 H1458:XFD1485 H1486:H1493 I1486:XFD1494 A1494:H1494 A1495:XFD65536">
    <cfRule type="cellIs" dxfId="25" priority="163" operator="equal">
      <formula>0</formula>
    </cfRule>
  </conditionalFormatting>
  <conditionalFormatting sqref="D7:IV8 C136:C142 B136:B149">
    <cfRule type="cellIs" dxfId="24" priority="62" operator="equal">
      <formula>0</formula>
    </cfRule>
  </conditionalFormatting>
  <conditionalFormatting sqref="H9:H1418">
    <cfRule type="cellIs" dxfId="23" priority="129" operator="equal">
      <formula>0</formula>
    </cfRule>
  </conditionalFormatting>
  <conditionalFormatting sqref="H1419:I1454">
    <cfRule type="cellIs" dxfId="22" priority="128" operator="equal">
      <formula>0</formula>
    </cfRule>
  </conditionalFormatting>
  <conditionalFormatting sqref="I108:I1418">
    <cfRule type="cellIs" dxfId="21" priority="125" operator="equal">
      <formula>0</formula>
    </cfRule>
  </conditionalFormatting>
  <conditionalFormatting sqref="J108:IV1454">
    <cfRule type="cellIs" dxfId="20" priority="139" operator="equal">
      <formula>0</formula>
    </cfRule>
  </conditionalFormatting>
  <conditionalFormatting sqref="M6:IV6">
    <cfRule type="cellIs" dxfId="19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3" t="s">
        <v>1454</v>
      </c>
      <c r="C2" s="593"/>
      <c r="D2" s="593"/>
      <c r="E2" s="593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8" t="s">
        <v>1532</v>
      </c>
      <c r="C4" s="599"/>
      <c r="D4" s="599"/>
      <c r="E4" s="600"/>
      <c r="F4" s="440"/>
      <c r="G4" s="440"/>
      <c r="H4" s="441"/>
      <c r="I4" s="562" t="s">
        <v>1533</v>
      </c>
      <c r="J4" s="563"/>
      <c r="K4" s="563"/>
      <c r="L4" s="564"/>
    </row>
    <row r="5" spans="1:12" ht="34.5" customHeight="1">
      <c r="A5" s="204"/>
      <c r="B5" s="443" t="s">
        <v>1379</v>
      </c>
      <c r="C5" s="277" t="s">
        <v>9</v>
      </c>
      <c r="D5" s="594" t="str">
        <f>DATA!D14</f>
        <v>KOS ERNA TRI PUJIASTUTI</v>
      </c>
      <c r="E5" s="595"/>
      <c r="F5" s="208"/>
      <c r="G5" s="208"/>
      <c r="I5" s="444" t="s">
        <v>1379</v>
      </c>
      <c r="J5" s="277" t="s">
        <v>9</v>
      </c>
      <c r="K5" s="565" t="str">
        <f>D5</f>
        <v>KOS ERNA TRI PUJIASTUTI</v>
      </c>
      <c r="L5" s="566"/>
    </row>
    <row r="6" spans="1:12" ht="31.5" customHeight="1">
      <c r="A6" s="204"/>
      <c r="B6" s="443" t="s">
        <v>1529</v>
      </c>
      <c r="C6" s="277" t="s">
        <v>9</v>
      </c>
      <c r="D6" s="603">
        <f>DATA!D17*1000</f>
        <v>0</v>
      </c>
      <c r="E6" s="604"/>
      <c r="F6" s="208"/>
      <c r="G6" s="208"/>
      <c r="I6" s="444" t="s">
        <v>1530</v>
      </c>
      <c r="J6" s="277" t="s">
        <v>9</v>
      </c>
      <c r="K6" s="567">
        <f>DATA!D20*1000</f>
        <v>16900.000000000004</v>
      </c>
      <c r="L6" s="568"/>
    </row>
    <row r="7" spans="1:12" ht="30.75" customHeight="1">
      <c r="A7" s="204"/>
      <c r="B7" s="443" t="s">
        <v>1441</v>
      </c>
      <c r="C7" s="277" t="s">
        <v>9</v>
      </c>
      <c r="D7" s="601">
        <f>DATA!D18</f>
        <v>1</v>
      </c>
      <c r="E7" s="602"/>
      <c r="F7" s="442" t="s">
        <v>1453</v>
      </c>
      <c r="I7" s="444" t="s">
        <v>1441</v>
      </c>
      <c r="J7" s="277" t="s">
        <v>9</v>
      </c>
      <c r="K7" s="569">
        <f>DATA!D21</f>
        <v>3</v>
      </c>
      <c r="L7" s="570"/>
    </row>
    <row r="8" spans="1:12" ht="51" customHeight="1">
      <c r="A8" s="204"/>
      <c r="B8" s="443" t="s">
        <v>1442</v>
      </c>
      <c r="C8" s="277" t="s">
        <v>9</v>
      </c>
      <c r="D8" s="601">
        <f>DATA!D19</f>
        <v>220</v>
      </c>
      <c r="E8" s="602"/>
      <c r="F8" s="442" t="s">
        <v>1453</v>
      </c>
      <c r="G8" s="437">
        <v>220</v>
      </c>
      <c r="I8" s="444" t="s">
        <v>1442</v>
      </c>
      <c r="J8" s="277" t="s">
        <v>9</v>
      </c>
      <c r="K8" s="569">
        <f>DATA!D22</f>
        <v>380</v>
      </c>
      <c r="L8" s="570"/>
    </row>
    <row r="9" spans="1:12" ht="30" customHeight="1" thickBot="1">
      <c r="A9" s="204"/>
      <c r="B9" s="449" t="s">
        <v>1541</v>
      </c>
      <c r="C9" s="439" t="s">
        <v>9</v>
      </c>
      <c r="D9" s="596">
        <f>IF(D7=1,D6/(380/3^0.5),(D6/(380*3^0.5)))</f>
        <v>0</v>
      </c>
      <c r="E9" s="597"/>
      <c r="F9" s="207"/>
      <c r="G9" s="438">
        <v>380</v>
      </c>
      <c r="I9" s="450" t="s">
        <v>1541</v>
      </c>
      <c r="J9" s="439" t="s">
        <v>9</v>
      </c>
      <c r="K9" s="573">
        <f>IF(K7=1,K6/(380/3^0.5),(K6/(380*3^0.5)))</f>
        <v>25.676893550801786</v>
      </c>
      <c r="L9" s="574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605"/>
      <c r="E12" s="606"/>
      <c r="F12" s="208"/>
      <c r="G12" s="208"/>
      <c r="I12" s="466" t="s">
        <v>1534</v>
      </c>
      <c r="J12" s="467" t="s">
        <v>9</v>
      </c>
      <c r="K12" s="605"/>
      <c r="L12" s="606"/>
    </row>
    <row r="13" spans="1:12" ht="31.5" customHeight="1">
      <c r="A13" s="204"/>
      <c r="B13" s="474" t="s">
        <v>1380</v>
      </c>
      <c r="C13" s="454" t="s">
        <v>9</v>
      </c>
      <c r="D13" s="571"/>
      <c r="E13" s="572"/>
      <c r="F13" s="208"/>
      <c r="G13" s="208"/>
      <c r="I13" s="468" t="s">
        <v>1380</v>
      </c>
      <c r="J13" s="454" t="s">
        <v>9</v>
      </c>
      <c r="K13" s="571"/>
      <c r="L13" s="572"/>
    </row>
    <row r="14" spans="1:12" ht="30.75" customHeight="1">
      <c r="A14" s="204"/>
      <c r="B14" s="474" t="s">
        <v>1535</v>
      </c>
      <c r="C14" s="454" t="s">
        <v>9</v>
      </c>
      <c r="D14" s="575">
        <v>50</v>
      </c>
      <c r="E14" s="576"/>
      <c r="F14" s="442" t="s">
        <v>1453</v>
      </c>
      <c r="G14" s="446">
        <v>50</v>
      </c>
      <c r="I14" s="468" t="s">
        <v>1535</v>
      </c>
      <c r="J14" s="454" t="s">
        <v>9</v>
      </c>
      <c r="K14" s="577">
        <v>50</v>
      </c>
      <c r="L14" s="578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579">
        <f>63+10</f>
        <v>73</v>
      </c>
      <c r="E16" s="580"/>
      <c r="F16" s="442"/>
      <c r="G16" s="446">
        <v>160</v>
      </c>
      <c r="I16" s="468" t="s">
        <v>1537</v>
      </c>
      <c r="J16" s="454" t="s">
        <v>9</v>
      </c>
      <c r="K16" s="583">
        <f>K9</f>
        <v>25.676893550801786</v>
      </c>
      <c r="L16" s="584"/>
    </row>
    <row r="17" spans="1:12" ht="34.5" customHeight="1">
      <c r="A17" s="204"/>
      <c r="B17" s="474" t="s">
        <v>1538</v>
      </c>
      <c r="C17" s="454" t="s">
        <v>9</v>
      </c>
      <c r="D17" s="581">
        <f>IF(D15=1,D14/(20/3^0.5),(D14/(20*3^0.5)))</f>
        <v>1.4433756729740645</v>
      </c>
      <c r="E17" s="582"/>
      <c r="F17" s="442" t="s">
        <v>1453</v>
      </c>
      <c r="G17" s="447">
        <v>200</v>
      </c>
      <c r="I17" s="468" t="s">
        <v>1538</v>
      </c>
      <c r="J17" s="454" t="s">
        <v>9</v>
      </c>
      <c r="K17" s="587">
        <f>IF(K15=1,K14/(20/3^0.5),(K14/(20*3^0.5)))</f>
        <v>1.4433756729740645</v>
      </c>
      <c r="L17" s="588"/>
    </row>
    <row r="18" spans="1:12" ht="34.5" customHeight="1">
      <c r="A18" s="204"/>
      <c r="B18" s="474" t="s">
        <v>1539</v>
      </c>
      <c r="C18" s="454" t="s">
        <v>9</v>
      </c>
      <c r="D18" s="581">
        <f>IF(D15=1,D14/(380/3^0.5),(D14/(380*3^0.5)))*1000</f>
        <v>75.96714068284551</v>
      </c>
      <c r="E18" s="582"/>
      <c r="F18" s="442" t="s">
        <v>1453</v>
      </c>
      <c r="G18" s="447">
        <v>250</v>
      </c>
      <c r="I18" s="468" t="s">
        <v>1539</v>
      </c>
      <c r="J18" s="454" t="s">
        <v>9</v>
      </c>
      <c r="K18" s="587">
        <f>IF(K15=1,K14/(380/3^0.5),(K14/(380*3^0.5)))*1000</f>
        <v>75.96714068284551</v>
      </c>
      <c r="L18" s="588"/>
    </row>
    <row r="19" spans="1:12" ht="30" customHeight="1">
      <c r="A19" s="204"/>
      <c r="B19" s="475" t="s">
        <v>1531</v>
      </c>
      <c r="C19" s="453" t="s">
        <v>9</v>
      </c>
      <c r="D19" s="581">
        <f>IF(D15=1,D14/(380/3^0.5),(D14/(380*3^0.5)))</f>
        <v>7.5967140682845505E-2</v>
      </c>
      <c r="E19" s="582"/>
      <c r="F19" s="207"/>
      <c r="G19" s="438"/>
      <c r="I19" s="470" t="s">
        <v>1531</v>
      </c>
      <c r="J19" s="453" t="s">
        <v>9</v>
      </c>
      <c r="K19" s="587">
        <f>IF(K15=1,K14/(380/3^0.5),(K14/(380*3^0.5)))</f>
        <v>7.5967140682845505E-2</v>
      </c>
      <c r="L19" s="588"/>
    </row>
    <row r="20" spans="1:12" ht="30" customHeight="1" thickBot="1">
      <c r="A20" s="204"/>
      <c r="B20" s="476" t="s">
        <v>1540</v>
      </c>
      <c r="C20" s="472" t="s">
        <v>9</v>
      </c>
      <c r="D20" s="607">
        <f>D16/D18</f>
        <v>0.96094178803921293</v>
      </c>
      <c r="E20" s="608"/>
      <c r="F20" s="207"/>
      <c r="G20" s="438"/>
      <c r="I20" s="471" t="s">
        <v>1531</v>
      </c>
      <c r="J20" s="472" t="s">
        <v>9</v>
      </c>
      <c r="K20" s="585">
        <f>K16/K18</f>
        <v>0.33800000000000002</v>
      </c>
      <c r="L20" s="586"/>
    </row>
    <row r="21" spans="1:12" ht="9.75" customHeight="1">
      <c r="A21" s="204"/>
      <c r="B21" s="461" t="s">
        <v>1540</v>
      </c>
      <c r="C21" s="462" t="s">
        <v>9</v>
      </c>
      <c r="D21" s="592">
        <v>1</v>
      </c>
      <c r="E21" s="592"/>
      <c r="F21" s="463"/>
      <c r="G21" s="464"/>
      <c r="H21" s="465"/>
      <c r="I21" s="461" t="s">
        <v>1531</v>
      </c>
      <c r="J21" s="462" t="s">
        <v>9</v>
      </c>
      <c r="K21" s="592">
        <v>1</v>
      </c>
      <c r="L21" s="592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89"/>
      <c r="C24" s="590"/>
      <c r="D24" s="590"/>
      <c r="E24" s="591"/>
      <c r="I24" s="589"/>
      <c r="J24" s="590"/>
      <c r="K24" s="590"/>
      <c r="L24" s="591"/>
    </row>
    <row r="26" spans="1:12">
      <c r="D26" s="456"/>
    </row>
    <row r="27" spans="1:12">
      <c r="D27" s="457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Normal="100" workbookViewId="0">
      <selection activeCell="D15" sqref="D15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9"/>
      <c r="C1" s="609"/>
      <c r="D1" s="609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1608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16.900000000000002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16376100.000000002</v>
      </c>
    </row>
    <row r="10" spans="2:11" ht="20.100000000000001" customHeight="1">
      <c r="B10" s="291" t="s">
        <v>1446</v>
      </c>
      <c r="C10" s="292" t="s">
        <v>9</v>
      </c>
      <c r="D10" s="298">
        <f ca="1">RAB!K93</f>
        <v>23326192.576400001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466523.85152800003</v>
      </c>
    </row>
    <row r="12" spans="2:11" ht="9" customHeight="1">
      <c r="B12" s="610"/>
      <c r="C12" s="610"/>
      <c r="D12" s="610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1634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1630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0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1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220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f>1.3*13</f>
        <v>16.900000000000002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3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380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1444.7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1444.7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969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zoomScale="85" zoomScaleNormal="85" workbookViewId="0">
      <pane ySplit="6" topLeftCell="A7" activePane="bottomLeft" state="frozen"/>
      <selection activeCell="H1093" sqref="H1093"/>
      <selection pane="bottomLeft" activeCell="T38" sqref="T3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7" t="s">
        <v>1357</v>
      </c>
      <c r="C3" s="617"/>
      <c r="D3" s="617"/>
      <c r="E3" s="617"/>
      <c r="F3" s="305" t="str">
        <f>DATA!D14</f>
        <v>KOS ERNA TRI PUJIASTUTI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1" t="s">
        <v>1349</v>
      </c>
      <c r="C5" s="611" t="s">
        <v>1358</v>
      </c>
      <c r="D5" s="616" t="s">
        <v>1359</v>
      </c>
      <c r="E5" s="616" t="s">
        <v>1360</v>
      </c>
      <c r="F5" s="611" t="s">
        <v>1361</v>
      </c>
      <c r="G5" s="611"/>
      <c r="H5" s="611"/>
      <c r="I5" s="611"/>
      <c r="J5" s="611"/>
      <c r="K5" s="611" t="s">
        <v>1362</v>
      </c>
      <c r="L5" s="611"/>
      <c r="M5" s="307"/>
      <c r="N5" s="614" t="s">
        <v>1363</v>
      </c>
      <c r="O5" s="616" t="s">
        <v>1364</v>
      </c>
      <c r="P5" s="616" t="s">
        <v>1365</v>
      </c>
      <c r="Q5" s="616" t="s">
        <v>1366</v>
      </c>
      <c r="R5" s="308"/>
      <c r="S5" s="309"/>
      <c r="T5" s="612" t="s">
        <v>1367</v>
      </c>
      <c r="U5" s="310"/>
    </row>
    <row r="6" spans="1:21" ht="20.100000000000001" customHeight="1">
      <c r="B6" s="611"/>
      <c r="C6" s="611"/>
      <c r="D6" s="611"/>
      <c r="E6" s="611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5"/>
      <c r="O6" s="611"/>
      <c r="P6" s="611"/>
      <c r="Q6" s="611"/>
      <c r="R6" s="308"/>
      <c r="S6" s="309"/>
      <c r="T6" s="611"/>
      <c r="U6" s="312"/>
    </row>
    <row r="7" spans="1:21" ht="20.100000000000001" customHeight="1">
      <c r="A7" s="313">
        <v>0</v>
      </c>
      <c r="B7" s="314">
        <v>2023</v>
      </c>
      <c r="C7" s="477">
        <f>DATA!D8*DATA!D26*1</f>
        <v>676.00000000000011</v>
      </c>
      <c r="D7" s="316">
        <f>C7*4/24</f>
        <v>112.66666666666669</v>
      </c>
      <c r="E7" s="316">
        <f>C7-D7</f>
        <v>563.33333333333348</v>
      </c>
      <c r="F7" s="317">
        <f ca="1">DATA!D10/1000000</f>
        <v>23.3261925764</v>
      </c>
      <c r="G7" s="318">
        <f ca="1">DATA!$D$11/1000000</f>
        <v>0.46652385152800002</v>
      </c>
      <c r="H7" s="318">
        <f>C7*DATA!$D$5/1000000</f>
        <v>0.73286853101933092</v>
      </c>
      <c r="I7" s="318">
        <f>(C7*DATA!$D$5*DATA!$D$7)/1000000</f>
        <v>1.6489541947934949E-2</v>
      </c>
      <c r="J7" s="316">
        <f ca="1">SUM(F7:I7)</f>
        <v>24.542074500895264</v>
      </c>
      <c r="K7" s="319">
        <f>DATA!D9/1000000</f>
        <v>16.376100000000001</v>
      </c>
      <c r="L7" s="316">
        <f>((D7*DATA!$D$23)/1000000)+((E7*DATA!$D$24)/1000000)</f>
        <v>0.97661720000000019</v>
      </c>
      <c r="M7" s="316">
        <f>K7+L7</f>
        <v>17.352717200000001</v>
      </c>
      <c r="N7" s="316">
        <f ca="1">M7-J7</f>
        <v>-7.1893573008952636</v>
      </c>
      <c r="O7" s="314">
        <v>1</v>
      </c>
      <c r="P7" s="316">
        <f ca="1">O7*N7</f>
        <v>-7.1893573008952636</v>
      </c>
      <c r="Q7" s="316">
        <f ca="1">P7</f>
        <v>-7.1893573008952636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8112.0000000000018</v>
      </c>
      <c r="D8" s="316">
        <f>C8*4/24</f>
        <v>1352.0000000000002</v>
      </c>
      <c r="E8" s="316">
        <f t="shared" ref="E8:E32" si="0">C8-D8</f>
        <v>6760.0000000000018</v>
      </c>
      <c r="F8" s="314"/>
      <c r="G8" s="318">
        <f ca="1">DATA!$D$11/1000000</f>
        <v>0.46652385152800002</v>
      </c>
      <c r="H8" s="318">
        <f>C8*DATA!$D$5/1000000</f>
        <v>8.7944223722319723</v>
      </c>
      <c r="I8" s="318">
        <f>(C8*DATA!$D$5*DATA!$D$7)/1000000</f>
        <v>0.19787450337521936</v>
      </c>
      <c r="J8" s="316">
        <f t="shared" ref="J8:J32" ca="1" si="1">SUM(F8:I8)</f>
        <v>9.4588207271351923</v>
      </c>
      <c r="K8" s="321"/>
      <c r="L8" s="316">
        <f>((D8*DATA!$D$23)/1000000)+((E8*DATA!$D$24)/1000000)</f>
        <v>11.719406400000004</v>
      </c>
      <c r="M8" s="316">
        <f t="shared" ref="M8:M32" si="2">K8+L8</f>
        <v>11.719406400000004</v>
      </c>
      <c r="N8" s="316">
        <f ca="1">M8-J8</f>
        <v>2.2605856728648117</v>
      </c>
      <c r="O8" s="315">
        <f>1/(1+'[93]Asumsi I'!$C$3)^(KKF!A8)</f>
        <v>0.89285714285714279</v>
      </c>
      <c r="P8" s="316">
        <f ca="1">O8*N8</f>
        <v>2.0183800650578676</v>
      </c>
      <c r="Q8" s="316">
        <f ca="1">Q7+P8</f>
        <v>-5.1709772358373964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8112.0000000000018</v>
      </c>
      <c r="D9" s="316">
        <f t="shared" ref="D9:D32" si="5">C9*4/24</f>
        <v>1352.0000000000002</v>
      </c>
      <c r="E9" s="316">
        <f t="shared" si="0"/>
        <v>6760.0000000000018</v>
      </c>
      <c r="F9" s="314"/>
      <c r="G9" s="318">
        <f ca="1">DATA!$D$11/1000000</f>
        <v>0.46652385152800002</v>
      </c>
      <c r="H9" s="318">
        <f>C9*DATA!$D$5/1000000</f>
        <v>8.7944223722319723</v>
      </c>
      <c r="I9" s="318">
        <f>(C9*DATA!$D$5*DATA!$D$7)/1000000</f>
        <v>0.19787450337521936</v>
      </c>
      <c r="J9" s="316">
        <f t="shared" ca="1" si="1"/>
        <v>9.4588207271351923</v>
      </c>
      <c r="K9" s="316"/>
      <c r="L9" s="316">
        <f>((D9*DATA!$D$23)/1000000)+((E9*DATA!$D$24)/1000000)</f>
        <v>11.719406400000004</v>
      </c>
      <c r="M9" s="316">
        <f t="shared" si="2"/>
        <v>11.719406400000004</v>
      </c>
      <c r="N9" s="316">
        <f t="shared" ref="N9:N32" ca="1" si="6">M9-J9</f>
        <v>2.2605856728648117</v>
      </c>
      <c r="O9" s="322">
        <f>1/(1+'[93]Asumsi I'!$C$3)^(KKF!A9)</f>
        <v>0.79719387755102034</v>
      </c>
      <c r="P9" s="316">
        <f t="shared" ref="P9:P32" ca="1" si="7">O9*N9</f>
        <v>1.8021250580873815</v>
      </c>
      <c r="Q9" s="316">
        <f ca="1">Q8+P9</f>
        <v>-3.3688521777500151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8112.0000000000018</v>
      </c>
      <c r="D10" s="316">
        <f t="shared" si="5"/>
        <v>1352.0000000000002</v>
      </c>
      <c r="E10" s="316">
        <f t="shared" si="0"/>
        <v>6760.0000000000018</v>
      </c>
      <c r="F10" s="314"/>
      <c r="G10" s="318">
        <f ca="1">DATA!$D$11/1000000</f>
        <v>0.46652385152800002</v>
      </c>
      <c r="H10" s="318">
        <f>C10*DATA!$D$5/1000000</f>
        <v>8.7944223722319723</v>
      </c>
      <c r="I10" s="318">
        <f>(C10*DATA!$D$5*DATA!$D$7)/1000000</f>
        <v>0.19787450337521936</v>
      </c>
      <c r="J10" s="316">
        <f t="shared" ca="1" si="1"/>
        <v>9.4588207271351923</v>
      </c>
      <c r="K10" s="314"/>
      <c r="L10" s="316">
        <f>((D10*DATA!$D$23)/1000000)+((E10*DATA!$D$24)/1000000)</f>
        <v>11.719406400000004</v>
      </c>
      <c r="M10" s="316">
        <f t="shared" si="2"/>
        <v>11.719406400000004</v>
      </c>
      <c r="N10" s="316">
        <f t="shared" ca="1" si="6"/>
        <v>2.2605856728648117</v>
      </c>
      <c r="O10" s="315">
        <f>1/(1+'[93]Asumsi I'!$C$3)^(KKF!A10)</f>
        <v>0.71178024781341087</v>
      </c>
      <c r="P10" s="316">
        <f t="shared" ca="1" si="7"/>
        <v>1.6090402304351619</v>
      </c>
      <c r="Q10" s="316">
        <f t="shared" ref="Q10:Q30" ca="1" si="9">Q9+P10</f>
        <v>-1.7598119473148532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8112.0000000000018</v>
      </c>
      <c r="D11" s="316">
        <f t="shared" si="5"/>
        <v>1352.0000000000002</v>
      </c>
      <c r="E11" s="316">
        <f t="shared" si="0"/>
        <v>6760.0000000000018</v>
      </c>
      <c r="F11" s="314"/>
      <c r="G11" s="318">
        <f ca="1">DATA!$D$11/1000000</f>
        <v>0.46652385152800002</v>
      </c>
      <c r="H11" s="318">
        <f>C11*DATA!$D$5/1000000</f>
        <v>8.7944223722319723</v>
      </c>
      <c r="I11" s="318">
        <f>(C11*DATA!$D$5*DATA!$D$7)/1000000</f>
        <v>0.19787450337521936</v>
      </c>
      <c r="J11" s="316">
        <f t="shared" ca="1" si="1"/>
        <v>9.4588207271351923</v>
      </c>
      <c r="K11" s="314"/>
      <c r="L11" s="316">
        <f>((D11*DATA!$D$23)/1000000)+((E11*DATA!$D$24)/1000000)</f>
        <v>11.719406400000004</v>
      </c>
      <c r="M11" s="316">
        <f t="shared" si="2"/>
        <v>11.719406400000004</v>
      </c>
      <c r="N11" s="316">
        <f t="shared" ca="1" si="6"/>
        <v>2.2605856728648117</v>
      </c>
      <c r="O11" s="315">
        <f>1/(1+'[93]Asumsi I'!$C$3)^(KKF!A11)</f>
        <v>0.63551807840483121</v>
      </c>
      <c r="P11" s="316">
        <f t="shared" ca="1" si="7"/>
        <v>1.4366430628885376</v>
      </c>
      <c r="Q11" s="316">
        <f t="shared" ca="1" si="9"/>
        <v>-0.32316888442631564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8112.0000000000018</v>
      </c>
      <c r="D12" s="316">
        <f t="shared" si="5"/>
        <v>1352.0000000000002</v>
      </c>
      <c r="E12" s="316">
        <f t="shared" si="0"/>
        <v>6760.0000000000018</v>
      </c>
      <c r="F12" s="314"/>
      <c r="G12" s="318">
        <f ca="1">DATA!$D$11/1000000</f>
        <v>0.46652385152800002</v>
      </c>
      <c r="H12" s="318">
        <f>C12*DATA!$D$5/1000000</f>
        <v>8.7944223722319723</v>
      </c>
      <c r="I12" s="318">
        <f>(C12*DATA!$D$5*DATA!$D$7)/1000000</f>
        <v>0.19787450337521936</v>
      </c>
      <c r="J12" s="316">
        <f t="shared" ca="1" si="1"/>
        <v>9.4588207271351923</v>
      </c>
      <c r="K12" s="314"/>
      <c r="L12" s="316">
        <f>((D12*DATA!$D$23)/1000000)+((E12*DATA!$D$24)/1000000)</f>
        <v>11.719406400000004</v>
      </c>
      <c r="M12" s="316">
        <f t="shared" si="2"/>
        <v>11.719406400000004</v>
      </c>
      <c r="N12" s="316">
        <f t="shared" ca="1" si="6"/>
        <v>2.2605856728648117</v>
      </c>
      <c r="O12" s="315">
        <f>1/(1+'[93]Asumsi I'!$C$3)^(KKF!A12)</f>
        <v>0.56742685571859919</v>
      </c>
      <c r="P12" s="316">
        <f t="shared" ca="1" si="7"/>
        <v>1.282717020436194</v>
      </c>
      <c r="Q12" s="316">
        <f t="shared" ca="1" si="9"/>
        <v>0.95954813600987832</v>
      </c>
      <c r="S12" s="304" t="str">
        <f t="shared" ca="1" si="3"/>
        <v/>
      </c>
      <c r="T12" s="320">
        <f t="shared" ca="1" si="10"/>
        <v>4.5755311786994319</v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8112.0000000000018</v>
      </c>
      <c r="D13" s="316">
        <f t="shared" si="5"/>
        <v>1352.0000000000002</v>
      </c>
      <c r="E13" s="316">
        <f t="shared" si="0"/>
        <v>6760.0000000000018</v>
      </c>
      <c r="F13" s="314"/>
      <c r="G13" s="318">
        <f ca="1">DATA!$D$11/1000000</f>
        <v>0.46652385152800002</v>
      </c>
      <c r="H13" s="318">
        <f>C13*DATA!$D$5/1000000</f>
        <v>8.7944223722319723</v>
      </c>
      <c r="I13" s="318">
        <f>(C13*DATA!$D$5*DATA!$D$7)/1000000</f>
        <v>0.19787450337521936</v>
      </c>
      <c r="J13" s="316">
        <f t="shared" ca="1" si="1"/>
        <v>9.4588207271351923</v>
      </c>
      <c r="K13" s="314"/>
      <c r="L13" s="316">
        <f>((D13*DATA!$D$23)/1000000)+((E13*DATA!$D$24)/1000000)</f>
        <v>11.719406400000004</v>
      </c>
      <c r="M13" s="316">
        <f t="shared" si="2"/>
        <v>11.719406400000004</v>
      </c>
      <c r="N13" s="316">
        <f t="shared" ca="1" si="6"/>
        <v>2.2605856728648117</v>
      </c>
      <c r="O13" s="315">
        <f>1/(1+'[93]Asumsi I'!$C$3)^(KKF!A13)</f>
        <v>0.50663112117732068</v>
      </c>
      <c r="P13" s="316">
        <f t="shared" ca="1" si="7"/>
        <v>1.1452830539608874</v>
      </c>
      <c r="Q13" s="316">
        <f t="shared" ca="1" si="9"/>
        <v>2.1048311899707657</v>
      </c>
      <c r="S13" s="304" t="str">
        <f t="shared" ca="1" si="3"/>
        <v/>
      </c>
      <c r="T13" s="320">
        <f t="shared" ca="1" si="10"/>
        <v>5.0689000575221108</v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8112.0000000000018</v>
      </c>
      <c r="D14" s="316">
        <f t="shared" si="5"/>
        <v>1352.0000000000002</v>
      </c>
      <c r="E14" s="316">
        <f t="shared" si="0"/>
        <v>6760.0000000000018</v>
      </c>
      <c r="F14" s="314"/>
      <c r="G14" s="318">
        <f ca="1">DATA!$D$11/1000000</f>
        <v>0.46652385152800002</v>
      </c>
      <c r="H14" s="318">
        <f>C14*DATA!$D$5/1000000</f>
        <v>8.7944223722319723</v>
      </c>
      <c r="I14" s="318">
        <f>(C14*DATA!$D$5*DATA!$D$7)/1000000</f>
        <v>0.19787450337521936</v>
      </c>
      <c r="J14" s="316">
        <f t="shared" ca="1" si="1"/>
        <v>9.4588207271351923</v>
      </c>
      <c r="K14" s="314"/>
      <c r="L14" s="316">
        <f>((D14*DATA!$D$23)/1000000)+((E14*DATA!$D$24)/1000000)</f>
        <v>11.719406400000004</v>
      </c>
      <c r="M14" s="316">
        <f t="shared" si="2"/>
        <v>11.719406400000004</v>
      </c>
      <c r="N14" s="316">
        <f t="shared" ca="1" si="6"/>
        <v>2.2605856728648117</v>
      </c>
      <c r="O14" s="315">
        <f>1/(1+'[93]Asumsi I'!$C$3)^(KKF!A14)</f>
        <v>0.45234921533689343</v>
      </c>
      <c r="P14" s="316">
        <f t="shared" ca="1" si="7"/>
        <v>1.0225741553222207</v>
      </c>
      <c r="Q14" s="316">
        <f t="shared" ca="1" si="9"/>
        <v>3.1274053452929866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8112.0000000000018</v>
      </c>
      <c r="D15" s="316">
        <f t="shared" si="5"/>
        <v>1352.0000000000002</v>
      </c>
      <c r="E15" s="316">
        <f t="shared" si="0"/>
        <v>6760.0000000000018</v>
      </c>
      <c r="F15" s="314"/>
      <c r="G15" s="318">
        <f ca="1">DATA!$D$11/1000000</f>
        <v>0.46652385152800002</v>
      </c>
      <c r="H15" s="318">
        <f>C15*DATA!$D$5/1000000</f>
        <v>8.7944223722319723</v>
      </c>
      <c r="I15" s="318">
        <f>(C15*DATA!$D$5*DATA!$D$7)/1000000</f>
        <v>0.19787450337521936</v>
      </c>
      <c r="J15" s="316">
        <f t="shared" ca="1" si="1"/>
        <v>9.4588207271351923</v>
      </c>
      <c r="K15" s="314"/>
      <c r="L15" s="316">
        <f>((D15*DATA!$D$23)/1000000)+((E15*DATA!$D$24)/1000000)</f>
        <v>11.719406400000004</v>
      </c>
      <c r="M15" s="316">
        <f t="shared" si="2"/>
        <v>11.719406400000004</v>
      </c>
      <c r="N15" s="316">
        <f t="shared" ca="1" si="6"/>
        <v>2.2605856728648117</v>
      </c>
      <c r="O15" s="315">
        <f>1/(1+'[93]Asumsi I'!$C$3)^(KKF!A15)</f>
        <v>0.4038832279793691</v>
      </c>
      <c r="P15" s="316">
        <f t="shared" ca="1" si="7"/>
        <v>0.91301263868055427</v>
      </c>
      <c r="Q15" s="316">
        <f t="shared" ca="1" si="9"/>
        <v>4.0404179839735406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8112.0000000000018</v>
      </c>
      <c r="D16" s="316">
        <f t="shared" si="5"/>
        <v>1352.0000000000002</v>
      </c>
      <c r="E16" s="316">
        <f t="shared" si="0"/>
        <v>6760.0000000000018</v>
      </c>
      <c r="F16" s="314"/>
      <c r="G16" s="318">
        <f ca="1">DATA!$D$11/1000000</f>
        <v>0.46652385152800002</v>
      </c>
      <c r="H16" s="318">
        <f>C16*DATA!$D$5/1000000</f>
        <v>8.7944223722319723</v>
      </c>
      <c r="I16" s="318">
        <f>(C16*DATA!$D$5*DATA!$D$7)/1000000</f>
        <v>0.19787450337521936</v>
      </c>
      <c r="J16" s="316">
        <f t="shared" ca="1" si="1"/>
        <v>9.4588207271351923</v>
      </c>
      <c r="K16" s="314"/>
      <c r="L16" s="316">
        <f>((D16*DATA!$D$23)/1000000)+((E16*DATA!$D$24)/1000000)</f>
        <v>11.719406400000004</v>
      </c>
      <c r="M16" s="316">
        <f t="shared" si="2"/>
        <v>11.719406400000004</v>
      </c>
      <c r="N16" s="316">
        <f t="shared" ca="1" si="6"/>
        <v>2.2605856728648117</v>
      </c>
      <c r="O16" s="315">
        <f>1/(1+'[93]Asumsi I'!$C$3)^(KKF!A16)</f>
        <v>0.36061002498157957</v>
      </c>
      <c r="P16" s="316">
        <f t="shared" ca="1" si="7"/>
        <v>0.81518985596478066</v>
      </c>
      <c r="Q16" s="316">
        <f t="shared" ca="1" si="9"/>
        <v>4.8556078399383216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8112.0000000000018</v>
      </c>
      <c r="D17" s="316">
        <f t="shared" si="5"/>
        <v>1352.0000000000002</v>
      </c>
      <c r="E17" s="316">
        <f t="shared" si="0"/>
        <v>6760.0000000000018</v>
      </c>
      <c r="F17" s="314"/>
      <c r="G17" s="318">
        <f ca="1">DATA!$D$11/1000000</f>
        <v>0.46652385152800002</v>
      </c>
      <c r="H17" s="318">
        <f>C17*DATA!$D$5/1000000</f>
        <v>8.7944223722319723</v>
      </c>
      <c r="I17" s="318">
        <f>(C17*DATA!$D$5*DATA!$D$7)/1000000</f>
        <v>0.19787450337521936</v>
      </c>
      <c r="J17" s="316">
        <f t="shared" ca="1" si="1"/>
        <v>9.4588207271351923</v>
      </c>
      <c r="K17" s="314"/>
      <c r="L17" s="316">
        <f>((D17*DATA!$D$23)/1000000)+((E17*DATA!$D$24)/1000000)</f>
        <v>11.719406400000004</v>
      </c>
      <c r="M17" s="316">
        <f t="shared" si="2"/>
        <v>11.719406400000004</v>
      </c>
      <c r="N17" s="316">
        <f t="shared" ca="1" si="6"/>
        <v>2.2605856728648117</v>
      </c>
      <c r="O17" s="315">
        <f>1/(1+'[93]Asumsi I'!$C$3)^(KKF!A17)</f>
        <v>0.32197323659069599</v>
      </c>
      <c r="P17" s="316">
        <f t="shared" ca="1" si="7"/>
        <v>0.72784808568283965</v>
      </c>
      <c r="Q17" s="316">
        <f t="shared" ca="1" si="9"/>
        <v>5.5834559256211609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8112.0000000000018</v>
      </c>
      <c r="D18" s="316">
        <f t="shared" si="5"/>
        <v>1352.0000000000002</v>
      </c>
      <c r="E18" s="316">
        <f t="shared" si="0"/>
        <v>6760.0000000000018</v>
      </c>
      <c r="F18" s="314"/>
      <c r="G18" s="318">
        <f ca="1">DATA!$D$11/1000000</f>
        <v>0.46652385152800002</v>
      </c>
      <c r="H18" s="318">
        <f>C18*DATA!$D$5/1000000</f>
        <v>8.7944223722319723</v>
      </c>
      <c r="I18" s="318">
        <f>(C18*DATA!$D$5*DATA!$D$7)/1000000</f>
        <v>0.19787450337521936</v>
      </c>
      <c r="J18" s="316">
        <f t="shared" ca="1" si="1"/>
        <v>9.4588207271351923</v>
      </c>
      <c r="K18" s="314"/>
      <c r="L18" s="316">
        <f>((D18*DATA!$D$23)/1000000)+((E18*DATA!$D$24)/1000000)</f>
        <v>11.719406400000004</v>
      </c>
      <c r="M18" s="316">
        <f t="shared" si="2"/>
        <v>11.719406400000004</v>
      </c>
      <c r="N18" s="316">
        <f t="shared" ca="1" si="6"/>
        <v>2.2605856728648117</v>
      </c>
      <c r="O18" s="315">
        <f>1/(1+'[93]Asumsi I'!$C$3)^(KKF!A18)</f>
        <v>0.28747610409883567</v>
      </c>
      <c r="P18" s="316">
        <f t="shared" ca="1" si="7"/>
        <v>0.64986436221682109</v>
      </c>
      <c r="Q18" s="316">
        <f t="shared" ca="1" si="9"/>
        <v>6.2333202878379819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8112.0000000000018</v>
      </c>
      <c r="D19" s="316">
        <f t="shared" si="5"/>
        <v>1352.0000000000002</v>
      </c>
      <c r="E19" s="316">
        <f t="shared" si="0"/>
        <v>6760.0000000000018</v>
      </c>
      <c r="F19" s="314"/>
      <c r="G19" s="318">
        <f ca="1">DATA!$D$11/1000000</f>
        <v>0.46652385152800002</v>
      </c>
      <c r="H19" s="318">
        <f>C19*DATA!$D$5/1000000</f>
        <v>8.7944223722319723</v>
      </c>
      <c r="I19" s="318">
        <f>(C19*DATA!$D$5*DATA!$D$7)/1000000</f>
        <v>0.19787450337521936</v>
      </c>
      <c r="J19" s="316">
        <f t="shared" ca="1" si="1"/>
        <v>9.4588207271351923</v>
      </c>
      <c r="K19" s="314"/>
      <c r="L19" s="316">
        <f>((D19*DATA!$D$23)/1000000)+((E19*DATA!$D$24)/1000000)</f>
        <v>11.719406400000004</v>
      </c>
      <c r="M19" s="316">
        <f t="shared" si="2"/>
        <v>11.719406400000004</v>
      </c>
      <c r="N19" s="316">
        <f t="shared" ca="1" si="6"/>
        <v>2.2605856728648117</v>
      </c>
      <c r="O19" s="315">
        <f>1/(1+'[93]Asumsi I'!$C$3)^(KKF!A19)</f>
        <v>0.25667509294538904</v>
      </c>
      <c r="P19" s="316">
        <f t="shared" ca="1" si="7"/>
        <v>0.58023603769359033</v>
      </c>
      <c r="Q19" s="316">
        <f t="shared" ca="1" si="9"/>
        <v>6.8135563255315725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8112.0000000000018</v>
      </c>
      <c r="D20" s="316">
        <f t="shared" si="5"/>
        <v>1352.0000000000002</v>
      </c>
      <c r="E20" s="316">
        <f t="shared" si="0"/>
        <v>6760.0000000000018</v>
      </c>
      <c r="F20" s="314"/>
      <c r="G20" s="318">
        <f ca="1">DATA!$D$11/1000000</f>
        <v>0.46652385152800002</v>
      </c>
      <c r="H20" s="318">
        <f>C20*DATA!$D$5/1000000</f>
        <v>8.7944223722319723</v>
      </c>
      <c r="I20" s="318">
        <f>(C20*DATA!$D$5*DATA!$D$7)/1000000</f>
        <v>0.19787450337521936</v>
      </c>
      <c r="J20" s="316">
        <f t="shared" ca="1" si="1"/>
        <v>9.4588207271351923</v>
      </c>
      <c r="K20" s="314"/>
      <c r="L20" s="316">
        <f>((D20*DATA!$D$23)/1000000)+((E20*DATA!$D$24)/1000000)</f>
        <v>11.719406400000004</v>
      </c>
      <c r="M20" s="316">
        <f t="shared" si="2"/>
        <v>11.719406400000004</v>
      </c>
      <c r="N20" s="316">
        <f t="shared" ca="1" si="6"/>
        <v>2.2605856728648117</v>
      </c>
      <c r="O20" s="315">
        <f>1/(1+'[93]Asumsi I'!$C$3)^(KKF!A20)</f>
        <v>0.22917419012981158</v>
      </c>
      <c r="P20" s="316">
        <f t="shared" ca="1" si="7"/>
        <v>0.51806789079784843</v>
      </c>
      <c r="Q20" s="316">
        <f t="shared" ca="1" si="9"/>
        <v>7.3316242163294207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8112.0000000000018</v>
      </c>
      <c r="D21" s="316">
        <f t="shared" si="5"/>
        <v>1352.0000000000002</v>
      </c>
      <c r="E21" s="316">
        <f t="shared" si="0"/>
        <v>6760.0000000000018</v>
      </c>
      <c r="F21" s="314"/>
      <c r="G21" s="318">
        <f ca="1">DATA!$D$11/1000000</f>
        <v>0.46652385152800002</v>
      </c>
      <c r="H21" s="318">
        <f>C21*DATA!$D$5/1000000</f>
        <v>8.7944223722319723</v>
      </c>
      <c r="I21" s="318">
        <f>(C21*DATA!$D$5*DATA!$D$7)/1000000</f>
        <v>0.19787450337521936</v>
      </c>
      <c r="J21" s="316">
        <f t="shared" ca="1" si="1"/>
        <v>9.4588207271351923</v>
      </c>
      <c r="K21" s="314"/>
      <c r="L21" s="316">
        <f>((D21*DATA!$D$23)/1000000)+((E21*DATA!$D$24)/1000000)</f>
        <v>11.719406400000004</v>
      </c>
      <c r="M21" s="316">
        <f t="shared" si="2"/>
        <v>11.719406400000004</v>
      </c>
      <c r="N21" s="316">
        <f t="shared" ca="1" si="6"/>
        <v>2.2605856728648117</v>
      </c>
      <c r="O21" s="315">
        <f>1/(1+'[93]Asumsi I'!$C$3)^(KKF!A21)</f>
        <v>0.20461981261590317</v>
      </c>
      <c r="P21" s="316">
        <f t="shared" ca="1" si="7"/>
        <v>0.46256061678379318</v>
      </c>
      <c r="Q21" s="316">
        <f t="shared" ca="1" si="9"/>
        <v>7.7941848331132135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8112.0000000000018</v>
      </c>
      <c r="D22" s="316">
        <f t="shared" si="5"/>
        <v>1352.0000000000002</v>
      </c>
      <c r="E22" s="316">
        <f t="shared" si="0"/>
        <v>6760.0000000000018</v>
      </c>
      <c r="F22" s="314"/>
      <c r="G22" s="318">
        <f ca="1">DATA!$D$11/1000000</f>
        <v>0.46652385152800002</v>
      </c>
      <c r="H22" s="318">
        <f>C22*DATA!$D$5/1000000</f>
        <v>8.7944223722319723</v>
      </c>
      <c r="I22" s="318">
        <f>(C22*DATA!$D$5*DATA!$D$7)/1000000</f>
        <v>0.19787450337521936</v>
      </c>
      <c r="J22" s="316">
        <f t="shared" ca="1" si="1"/>
        <v>9.4588207271351923</v>
      </c>
      <c r="K22" s="314"/>
      <c r="L22" s="316">
        <f>((D22*DATA!$D$23)/1000000)+((E22*DATA!$D$24)/1000000)</f>
        <v>11.719406400000004</v>
      </c>
      <c r="M22" s="316">
        <f t="shared" si="2"/>
        <v>11.719406400000004</v>
      </c>
      <c r="N22" s="316">
        <f t="shared" ca="1" si="6"/>
        <v>2.2605856728648117</v>
      </c>
      <c r="O22" s="315">
        <f>1/(1+'[93]Asumsi I'!$C$3)^(KKF!A22)</f>
        <v>0.18269626126419927</v>
      </c>
      <c r="P22" s="316">
        <f t="shared" ca="1" si="7"/>
        <v>0.41300055069981534</v>
      </c>
      <c r="Q22" s="316">
        <f t="shared" ca="1" si="9"/>
        <v>8.2071853838130284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8112.0000000000018</v>
      </c>
      <c r="D23" s="316">
        <f t="shared" si="5"/>
        <v>1352.0000000000002</v>
      </c>
      <c r="E23" s="316">
        <f t="shared" si="0"/>
        <v>6760.0000000000018</v>
      </c>
      <c r="F23" s="314"/>
      <c r="G23" s="318">
        <f ca="1">DATA!$D$11/1000000</f>
        <v>0.46652385152800002</v>
      </c>
      <c r="H23" s="318">
        <f>C23*DATA!$D$5/1000000</f>
        <v>8.7944223722319723</v>
      </c>
      <c r="I23" s="318">
        <f>(C23*DATA!$D$5*DATA!$D$7)/1000000</f>
        <v>0.19787450337521936</v>
      </c>
      <c r="J23" s="316">
        <f t="shared" ca="1" si="1"/>
        <v>9.4588207271351923</v>
      </c>
      <c r="K23" s="314"/>
      <c r="L23" s="316">
        <f>((D23*DATA!$D$23)/1000000)+((E23*DATA!$D$24)/1000000)</f>
        <v>11.719406400000004</v>
      </c>
      <c r="M23" s="316">
        <f t="shared" si="2"/>
        <v>11.719406400000004</v>
      </c>
      <c r="N23" s="316">
        <f t="shared" ca="1" si="6"/>
        <v>2.2605856728648117</v>
      </c>
      <c r="O23" s="315">
        <f>1/(1+'[93]Asumsi I'!$C$3)^(KKF!A23)</f>
        <v>0.16312166184303503</v>
      </c>
      <c r="P23" s="316">
        <f t="shared" ca="1" si="7"/>
        <v>0.36875049169626362</v>
      </c>
      <c r="Q23" s="316">
        <f t="shared" ca="1" si="9"/>
        <v>8.5759358755092912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8112.0000000000018</v>
      </c>
      <c r="D24" s="316">
        <f t="shared" si="5"/>
        <v>1352.0000000000002</v>
      </c>
      <c r="E24" s="316">
        <f t="shared" si="0"/>
        <v>6760.0000000000018</v>
      </c>
      <c r="F24" s="314"/>
      <c r="G24" s="318">
        <f ca="1">DATA!$D$11/1000000</f>
        <v>0.46652385152800002</v>
      </c>
      <c r="H24" s="318">
        <f>C24*DATA!$D$5/1000000</f>
        <v>8.7944223722319723</v>
      </c>
      <c r="I24" s="318">
        <f>(C24*DATA!$D$5*DATA!$D$7)/1000000</f>
        <v>0.19787450337521936</v>
      </c>
      <c r="J24" s="316">
        <f t="shared" ca="1" si="1"/>
        <v>9.4588207271351923</v>
      </c>
      <c r="K24" s="314"/>
      <c r="L24" s="316">
        <f>((D24*DATA!$D$23)/1000000)+((E24*DATA!$D$24)/1000000)</f>
        <v>11.719406400000004</v>
      </c>
      <c r="M24" s="316">
        <f t="shared" si="2"/>
        <v>11.719406400000004</v>
      </c>
      <c r="N24" s="316">
        <f t="shared" ca="1" si="6"/>
        <v>2.2605856728648117</v>
      </c>
      <c r="O24" s="315">
        <f>1/(1+'[93]Asumsi I'!$C$3)^(KKF!A24)</f>
        <v>0.14564434093128129</v>
      </c>
      <c r="P24" s="316">
        <f t="shared" ca="1" si="7"/>
        <v>0.32924151044309252</v>
      </c>
      <c r="Q24" s="316">
        <f t="shared" ca="1" si="9"/>
        <v>8.9051773859523831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8112.0000000000018</v>
      </c>
      <c r="D25" s="316">
        <f t="shared" si="5"/>
        <v>1352.0000000000002</v>
      </c>
      <c r="E25" s="316">
        <f t="shared" si="0"/>
        <v>6760.0000000000018</v>
      </c>
      <c r="F25" s="314"/>
      <c r="G25" s="318">
        <f ca="1">DATA!$D$11/1000000</f>
        <v>0.46652385152800002</v>
      </c>
      <c r="H25" s="318">
        <f>C25*DATA!$D$5/1000000</f>
        <v>8.7944223722319723</v>
      </c>
      <c r="I25" s="318">
        <f>(C25*DATA!$D$5*DATA!$D$7)/1000000</f>
        <v>0.19787450337521936</v>
      </c>
      <c r="J25" s="316">
        <f t="shared" ca="1" si="1"/>
        <v>9.4588207271351923</v>
      </c>
      <c r="K25" s="314"/>
      <c r="L25" s="316">
        <f>((D25*DATA!$D$23)/1000000)+((E25*DATA!$D$24)/1000000)</f>
        <v>11.719406400000004</v>
      </c>
      <c r="M25" s="316">
        <f t="shared" si="2"/>
        <v>11.719406400000004</v>
      </c>
      <c r="N25" s="316">
        <f t="shared" ca="1" si="6"/>
        <v>2.2605856728648117</v>
      </c>
      <c r="O25" s="315">
        <f>1/(1+'[93]Asumsi I'!$C$3)^(KKF!A25)</f>
        <v>0.13003959011721541</v>
      </c>
      <c r="P25" s="316">
        <f t="shared" ca="1" si="7"/>
        <v>0.29396563432418971</v>
      </c>
      <c r="Q25" s="316">
        <f t="shared" ca="1" si="9"/>
        <v>9.1991430202765727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8112.0000000000018</v>
      </c>
      <c r="D26" s="316">
        <f t="shared" si="5"/>
        <v>1352.0000000000002</v>
      </c>
      <c r="E26" s="316">
        <f t="shared" si="0"/>
        <v>6760.0000000000018</v>
      </c>
      <c r="F26" s="314"/>
      <c r="G26" s="318">
        <f ca="1">DATA!$D$11/1000000</f>
        <v>0.46652385152800002</v>
      </c>
      <c r="H26" s="318">
        <f>C26*DATA!$D$5/1000000</f>
        <v>8.7944223722319723</v>
      </c>
      <c r="I26" s="318">
        <f>(C26*DATA!$D$5*DATA!$D$7)/1000000</f>
        <v>0.19787450337521936</v>
      </c>
      <c r="J26" s="316">
        <f t="shared" ca="1" si="1"/>
        <v>9.4588207271351923</v>
      </c>
      <c r="K26" s="314"/>
      <c r="L26" s="316">
        <f>((D26*DATA!$D$23)/1000000)+((E26*DATA!$D$24)/1000000)</f>
        <v>11.719406400000004</v>
      </c>
      <c r="M26" s="316">
        <f t="shared" si="2"/>
        <v>11.719406400000004</v>
      </c>
      <c r="N26" s="316">
        <f t="shared" ca="1" si="6"/>
        <v>2.2605856728648117</v>
      </c>
      <c r="O26" s="315">
        <f>1/(1+'[93]Asumsi I'!$C$3)^(KKF!A26)</f>
        <v>0.1161067768903709</v>
      </c>
      <c r="P26" s="316">
        <f t="shared" ca="1" si="7"/>
        <v>0.26246931636088366</v>
      </c>
      <c r="Q26" s="316">
        <f t="shared" ca="1" si="9"/>
        <v>9.4616123366374563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8112.0000000000018</v>
      </c>
      <c r="D27" s="316">
        <f t="shared" si="5"/>
        <v>1352.0000000000002</v>
      </c>
      <c r="E27" s="316">
        <f t="shared" si="0"/>
        <v>6760.0000000000018</v>
      </c>
      <c r="F27" s="314"/>
      <c r="G27" s="318">
        <f ca="1">DATA!$D$11/1000000</f>
        <v>0.46652385152800002</v>
      </c>
      <c r="H27" s="318">
        <f>C27*DATA!$D$5/1000000</f>
        <v>8.7944223722319723</v>
      </c>
      <c r="I27" s="318">
        <f>(C27*DATA!$D$5*DATA!$D$7)/1000000</f>
        <v>0.19787450337521936</v>
      </c>
      <c r="J27" s="316">
        <f t="shared" ca="1" si="1"/>
        <v>9.4588207271351923</v>
      </c>
      <c r="K27" s="314"/>
      <c r="L27" s="316">
        <f>((D27*DATA!$D$23)/1000000)+((E27*DATA!$D$24)/1000000)</f>
        <v>11.719406400000004</v>
      </c>
      <c r="M27" s="316">
        <f t="shared" si="2"/>
        <v>11.719406400000004</v>
      </c>
      <c r="N27" s="316">
        <f t="shared" ca="1" si="6"/>
        <v>2.2605856728648117</v>
      </c>
      <c r="O27" s="315">
        <f>1/(1+'[93]Asumsi I'!$C$3)^(KKF!A27)</f>
        <v>0.1036667650806883</v>
      </c>
      <c r="P27" s="316">
        <f t="shared" ca="1" si="7"/>
        <v>0.23434760389364612</v>
      </c>
      <c r="Q27" s="316">
        <f t="shared" ca="1" si="9"/>
        <v>9.6959599405311021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8112.0000000000018</v>
      </c>
      <c r="D28" s="316">
        <f t="shared" si="5"/>
        <v>1352.0000000000002</v>
      </c>
      <c r="E28" s="316">
        <f t="shared" si="0"/>
        <v>6760.0000000000018</v>
      </c>
      <c r="F28" s="314"/>
      <c r="G28" s="318">
        <f ca="1">DATA!$D$11/1000000</f>
        <v>0.46652385152800002</v>
      </c>
      <c r="H28" s="318">
        <f>C28*DATA!$D$5/1000000</f>
        <v>8.7944223722319723</v>
      </c>
      <c r="I28" s="318">
        <f>(C28*DATA!$D$5*DATA!$D$7)/1000000</f>
        <v>0.19787450337521936</v>
      </c>
      <c r="J28" s="316">
        <f t="shared" ca="1" si="1"/>
        <v>9.4588207271351923</v>
      </c>
      <c r="K28" s="314"/>
      <c r="L28" s="316">
        <f>((D28*DATA!$D$23)/1000000)+((E28*DATA!$D$24)/1000000)</f>
        <v>11.719406400000004</v>
      </c>
      <c r="M28" s="316">
        <f t="shared" si="2"/>
        <v>11.719406400000004</v>
      </c>
      <c r="N28" s="316">
        <f t="shared" ca="1" si="6"/>
        <v>2.2605856728648117</v>
      </c>
      <c r="O28" s="315">
        <f>1/(1+'[93]Asumsi I'!$C$3)^(KKF!A28)</f>
        <v>9.2559611679185971E-2</v>
      </c>
      <c r="P28" s="316">
        <f t="shared" ca="1" si="7"/>
        <v>0.20923893204789831</v>
      </c>
      <c r="Q28" s="316">
        <f t="shared" ca="1" si="9"/>
        <v>9.9051988725789997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8112.0000000000018</v>
      </c>
      <c r="D29" s="316">
        <f t="shared" si="5"/>
        <v>1352.0000000000002</v>
      </c>
      <c r="E29" s="316">
        <f t="shared" si="0"/>
        <v>6760.0000000000018</v>
      </c>
      <c r="F29" s="314"/>
      <c r="G29" s="318">
        <f ca="1">DATA!$D$11/1000000</f>
        <v>0.46652385152800002</v>
      </c>
      <c r="H29" s="318">
        <f>C29*DATA!$D$5/1000000</f>
        <v>8.7944223722319723</v>
      </c>
      <c r="I29" s="318">
        <f>(C29*DATA!$D$5*DATA!$D$7)/1000000</f>
        <v>0.19787450337521936</v>
      </c>
      <c r="J29" s="316">
        <f t="shared" ca="1" si="1"/>
        <v>9.4588207271351923</v>
      </c>
      <c r="K29" s="314"/>
      <c r="L29" s="316">
        <f>((D29*DATA!$D$23)/1000000)+((E29*DATA!$D$24)/1000000)</f>
        <v>11.719406400000004</v>
      </c>
      <c r="M29" s="316">
        <f t="shared" si="2"/>
        <v>11.719406400000004</v>
      </c>
      <c r="N29" s="316">
        <f t="shared" ca="1" si="6"/>
        <v>2.2605856728648117</v>
      </c>
      <c r="O29" s="315">
        <f>1/(1+'[93]Asumsi I'!$C$3)^(KKF!A29)</f>
        <v>8.2642510427844609E-2</v>
      </c>
      <c r="P29" s="316">
        <f t="shared" ca="1" si="7"/>
        <v>0.18682047504276633</v>
      </c>
      <c r="Q29" s="316">
        <f t="shared" ca="1" si="9"/>
        <v>10.092019347621767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8112.0000000000018</v>
      </c>
      <c r="D30" s="316">
        <f t="shared" si="5"/>
        <v>1352.0000000000002</v>
      </c>
      <c r="E30" s="316">
        <f t="shared" si="0"/>
        <v>6760.0000000000018</v>
      </c>
      <c r="F30" s="314"/>
      <c r="G30" s="318">
        <f ca="1">DATA!$D$11/1000000</f>
        <v>0.46652385152800002</v>
      </c>
      <c r="H30" s="318">
        <f>C30*DATA!$D$5/1000000</f>
        <v>8.7944223722319723</v>
      </c>
      <c r="I30" s="318">
        <f>(C30*DATA!$D$5*DATA!$D$7)/1000000</f>
        <v>0.19787450337521936</v>
      </c>
      <c r="J30" s="316">
        <f t="shared" ca="1" si="1"/>
        <v>9.4588207271351923</v>
      </c>
      <c r="K30" s="314"/>
      <c r="L30" s="316">
        <f>((D30*DATA!$D$23)/1000000)+((E30*DATA!$D$24)/1000000)</f>
        <v>11.719406400000004</v>
      </c>
      <c r="M30" s="316">
        <f t="shared" si="2"/>
        <v>11.719406400000004</v>
      </c>
      <c r="N30" s="316">
        <f t="shared" ca="1" si="6"/>
        <v>2.2605856728648117</v>
      </c>
      <c r="O30" s="315">
        <f>1/(1+'[93]Asumsi I'!$C$3)^(KKF!A30)</f>
        <v>7.3787955739146982E-2</v>
      </c>
      <c r="P30" s="316">
        <f t="shared" ca="1" si="7"/>
        <v>0.16680399557389852</v>
      </c>
      <c r="Q30" s="316">
        <f t="shared" ca="1" si="9"/>
        <v>10.258823343195665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8112.0000000000018</v>
      </c>
      <c r="D31" s="316">
        <f t="shared" si="5"/>
        <v>1352.0000000000002</v>
      </c>
      <c r="E31" s="316">
        <f t="shared" si="0"/>
        <v>6760.0000000000018</v>
      </c>
      <c r="F31" s="314"/>
      <c r="G31" s="318">
        <f ca="1">DATA!$D$11/1000000</f>
        <v>0.46652385152800002</v>
      </c>
      <c r="H31" s="318">
        <f>C31*DATA!$D$5/1000000</f>
        <v>8.7944223722319723</v>
      </c>
      <c r="I31" s="318">
        <f>(C31*DATA!$D$5*DATA!$D$7)/1000000</f>
        <v>0.19787450337521936</v>
      </c>
      <c r="J31" s="316">
        <f t="shared" ca="1" si="1"/>
        <v>9.4588207271351923</v>
      </c>
      <c r="K31" s="314"/>
      <c r="L31" s="316">
        <f>((D31*DATA!$D$23)/1000000)+((E31*DATA!$D$24)/1000000)</f>
        <v>11.719406400000004</v>
      </c>
      <c r="M31" s="316">
        <f t="shared" si="2"/>
        <v>11.719406400000004</v>
      </c>
      <c r="N31" s="316">
        <f t="shared" ca="1" si="6"/>
        <v>2.2605856728648117</v>
      </c>
      <c r="O31" s="315">
        <f>1/(1+'[93]Asumsi I'!$C$3)^(KKF!A31)</f>
        <v>6.5882103338524081E-2</v>
      </c>
      <c r="P31" s="316">
        <f t="shared" ca="1" si="7"/>
        <v>0.14893213890526652</v>
      </c>
      <c r="Q31" s="316">
        <f ca="1">Q30+P31</f>
        <v>10.407755482100931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8112.0000000000018</v>
      </c>
      <c r="D32" s="316">
        <f t="shared" si="5"/>
        <v>1352.0000000000002</v>
      </c>
      <c r="E32" s="316">
        <f t="shared" si="0"/>
        <v>6760.0000000000018</v>
      </c>
      <c r="F32" s="314"/>
      <c r="G32" s="318">
        <f ca="1">DATA!$D$11/1000000</f>
        <v>0.46652385152800002</v>
      </c>
      <c r="H32" s="318">
        <f>C32*DATA!$D$5/1000000</f>
        <v>8.7944223722319723</v>
      </c>
      <c r="I32" s="318">
        <f>(C32*DATA!$D$5*DATA!$D$7)/1000000</f>
        <v>0.19787450337521936</v>
      </c>
      <c r="J32" s="316">
        <f t="shared" ca="1" si="1"/>
        <v>9.4588207271351923</v>
      </c>
      <c r="K32" s="314"/>
      <c r="L32" s="316">
        <f>((D32*DATA!$D$23)/1000000)+((E32*DATA!$D$24)/1000000)</f>
        <v>11.719406400000004</v>
      </c>
      <c r="M32" s="316">
        <f t="shared" si="2"/>
        <v>11.719406400000004</v>
      </c>
      <c r="N32" s="316">
        <f t="shared" ca="1" si="6"/>
        <v>2.2605856728648117</v>
      </c>
      <c r="O32" s="315">
        <f>1/(1+'[93]Asumsi I'!$C$3)^(KKF!A32)</f>
        <v>5.8823306552253637E-2</v>
      </c>
      <c r="P32" s="316">
        <f t="shared" ca="1" si="7"/>
        <v>0.13297512402255937</v>
      </c>
      <c r="Q32" s="316">
        <f ca="1">Q31+P32</f>
        <v>10.540730606123491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3" t="s">
        <v>1374</v>
      </c>
      <c r="G33" s="613"/>
      <c r="H33" s="613"/>
      <c r="I33" s="324"/>
      <c r="J33" s="325">
        <f ca="1">SUM(J7:J32)</f>
        <v>261.01259267927503</v>
      </c>
      <c r="K33" s="613" t="s">
        <v>1375</v>
      </c>
      <c r="L33" s="613"/>
      <c r="M33" s="325">
        <f>SUM(M7:M32)</f>
        <v>310.33787720000009</v>
      </c>
      <c r="N33" s="323"/>
      <c r="O33" s="323"/>
      <c r="P33" s="326"/>
      <c r="Q33" s="326"/>
      <c r="S33" s="304">
        <f ca="1">COUNTIF(S7:S32,"a")</f>
        <v>5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10.856511564896103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4.8222156181107714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1.18897664673725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9.4113666126102569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0.31409471353204887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08"/>
  <sheetViews>
    <sheetView showGridLines="0" zoomScale="85" zoomScaleNormal="85" zoomScaleSheetLayoutView="70" workbookViewId="0">
      <pane ySplit="13" topLeftCell="A38" activePane="bottomLeft" state="frozen"/>
      <selection activeCell="H1093" sqref="H1093"/>
      <selection pane="bottomLeft" activeCell="I105" sqref="I105:K105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6" t="s">
        <v>1036</v>
      </c>
      <c r="P3" s="636"/>
      <c r="Q3" s="346"/>
      <c r="T3" s="344"/>
      <c r="U3" s="345" t="s">
        <v>1041</v>
      </c>
      <c r="V3" s="344"/>
    </row>
    <row r="4" spans="1:22" ht="15.75" customHeight="1">
      <c r="B4" s="637" t="s">
        <v>1023</v>
      </c>
      <c r="C4" s="637"/>
      <c r="D4" s="637"/>
      <c r="E4" s="637"/>
      <c r="F4" s="637"/>
      <c r="G4" s="637"/>
      <c r="H4" s="637"/>
      <c r="I4" s="637"/>
      <c r="J4" s="637"/>
      <c r="K4" s="637"/>
      <c r="O4" s="636"/>
      <c r="P4" s="636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0" t="str">
        <f>DATA!D14</f>
        <v>KOS ERNA TRI PUJIASTUTI</v>
      </c>
      <c r="H6" s="620"/>
      <c r="I6" s="620"/>
      <c r="J6" s="620"/>
      <c r="K6" s="620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1627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9" t="s">
        <v>0</v>
      </c>
      <c r="C11" s="641" t="s">
        <v>1</v>
      </c>
      <c r="D11" s="630" t="s">
        <v>42</v>
      </c>
      <c r="E11" s="630" t="s">
        <v>43</v>
      </c>
      <c r="F11" s="630" t="s">
        <v>2</v>
      </c>
      <c r="G11" s="644" t="s">
        <v>41</v>
      </c>
      <c r="H11" s="630" t="s">
        <v>3</v>
      </c>
      <c r="I11" s="630"/>
      <c r="J11" s="630"/>
      <c r="K11" s="631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0"/>
      <c r="C12" s="642"/>
      <c r="D12" s="634"/>
      <c r="E12" s="634"/>
      <c r="F12" s="634"/>
      <c r="G12" s="645"/>
      <c r="H12" s="632" t="s">
        <v>46</v>
      </c>
      <c r="I12" s="632" t="s">
        <v>5</v>
      </c>
      <c r="J12" s="634" t="s">
        <v>47</v>
      </c>
      <c r="K12" s="635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0"/>
      <c r="C13" s="643"/>
      <c r="D13" s="634"/>
      <c r="E13" s="634"/>
      <c r="F13" s="634"/>
      <c r="G13" s="646"/>
      <c r="H13" s="633"/>
      <c r="I13" s="633"/>
      <c r="J13" s="634"/>
      <c r="K13" s="635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6" ca="1" si="0">IF(OR(D14="MDU",D14="MDU-KD"),(IF($O$3="RAB NON MDU","PLN KD",G14*F14)),0)</f>
        <v>0</v>
      </c>
      <c r="I14" s="361">
        <f t="shared" ref="I14:I16" ca="1" si="1">IF(D14="HDW",G14*F14,0)</f>
        <v>0</v>
      </c>
      <c r="J14" s="361">
        <f t="shared" ref="J14:J16" ca="1" si="2">IF(D14="JASA",G14*F14,0)</f>
        <v>0</v>
      </c>
      <c r="K14" s="362">
        <f t="shared" ref="K14:K16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1609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66">
        <v>1</v>
      </c>
      <c r="C16" s="109" t="s">
        <v>103</v>
      </c>
      <c r="D16" s="358" t="str">
        <f ca="1">IF(ISERROR(OFFSET('HARGA SATUAN'!$D$6,MATCH(RAB!C16,'HARGA SATUAN'!$C$7:$C$1492,0),0)),"",OFFSET('HARGA SATUAN'!$D$6,MATCH(RAB!C16,'HARGA SATUAN'!$C$7:$C$1492,0),0))</f>
        <v>HDW</v>
      </c>
      <c r="E16" s="359" t="str">
        <f ca="1">IF(B16="+","Unit",IF(ISERROR(OFFSET('HARGA SATUAN'!$E$6,MATCH(RAB!C16,'HARGA SATUAN'!$C$7:$C$1492,0),0)),"",OFFSET('HARGA SATUAN'!$E$6,MATCH(RAB!C16,'HARGA SATUAN'!$C$7:$C$1492,0),0)))</f>
        <v>Btg</v>
      </c>
      <c r="F16" s="368">
        <v>2</v>
      </c>
      <c r="G16" s="360">
        <f ca="1">IF(ISERROR(OFFSET('HARGA SATUAN'!$I$6,MATCH(RAB!C16,'HARGA SATUAN'!$C$7:$C$1492,0),0)),0,OFFSET('HARGA SATUAN'!$I$6,MATCH(RAB!C16,'HARGA SATUAN'!$C$7:$C$1492,0),0))</f>
        <v>5800000</v>
      </c>
      <c r="H16" s="361">
        <f t="shared" ca="1" si="0"/>
        <v>0</v>
      </c>
      <c r="I16" s="361">
        <f t="shared" ca="1" si="1"/>
        <v>11600000</v>
      </c>
      <c r="J16" s="361">
        <f t="shared" ca="1" si="2"/>
        <v>0</v>
      </c>
      <c r="K16" s="362">
        <f t="shared" ca="1" si="3"/>
        <v>11600000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3</v>
      </c>
      <c r="C17" s="109" t="s">
        <v>6</v>
      </c>
      <c r="D17" s="358" t="str">
        <f ca="1">IF(ISERROR(OFFSET('HARGA SATUAN'!$D$6,MATCH(RAB!C17,'HARGA SATUAN'!$C$7:$C$1492,0),0)),"",OFFSET('HARGA SATUAN'!$D$6,MATCH(RAB!C17,'HARGA SATUAN'!$C$7:$C$1492,0),0))</f>
        <v>JASA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f>F16</f>
        <v>2</v>
      </c>
      <c r="G17" s="360">
        <f ca="1">IF(ISERROR(OFFSET('HARGA SATUAN'!$I$6,MATCH(RAB!C17,'HARGA SATUAN'!$C$7:$C$1492,0),0)),0,OFFSET('HARGA SATUAN'!$I$6,MATCH(RAB!C17,'HARGA SATUAN'!$C$7:$C$1492,0),0))</f>
        <v>10066.666666666668</v>
      </c>
      <c r="H17" s="361">
        <f t="shared" ref="H17:H19" ca="1" si="4">IF(OR(D17="MDU",D17="MDU-KD"),(IF($O$3="RAB NON MDU","PLN KD",G17*F17)),0)</f>
        <v>0</v>
      </c>
      <c r="I17" s="361">
        <f t="shared" ref="I17:I19" ca="1" si="5">IF(D17="HDW",G17*F17,0)</f>
        <v>0</v>
      </c>
      <c r="J17" s="361">
        <f t="shared" ref="J17:J19" ca="1" si="6">IF(D17="JASA",G17*F17,0)</f>
        <v>20133.333333333336</v>
      </c>
      <c r="K17" s="362">
        <f t="shared" ref="K17:K19" ca="1" si="7">SUM(H17:J17)</f>
        <v>20133.333333333336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/>
      <c r="C18" s="109"/>
      <c r="D18" s="358"/>
      <c r="E18" s="359"/>
      <c r="F18" s="368"/>
      <c r="G18" s="360"/>
      <c r="H18" s="361"/>
      <c r="I18" s="361"/>
      <c r="J18" s="361"/>
      <c r="K18" s="362"/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66" t="s">
        <v>1610</v>
      </c>
      <c r="C19" s="367" t="s">
        <v>1616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4"/>
        <v>0</v>
      </c>
      <c r="I19" s="361">
        <f t="shared" ca="1" si="5"/>
        <v>0</v>
      </c>
      <c r="J19" s="361">
        <f t="shared" ca="1" si="6"/>
        <v>0</v>
      </c>
      <c r="K19" s="362">
        <f t="shared" ca="1" si="7"/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>
      <c r="B20" s="492"/>
      <c r="C20" s="495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:H45" ca="1" si="8">IF(OR(D20="MDU",D20="MDU-KD"),(IF($O$3="RAB NON MDU","PLN KD",G20*F20)),0)</f>
        <v>0</v>
      </c>
      <c r="I20" s="361">
        <f t="shared" ref="I20:I45" ca="1" si="9">IF(D20="HDW",G20*F20,0)</f>
        <v>0</v>
      </c>
      <c r="J20" s="361">
        <f t="shared" ref="J20:J45" ca="1" si="10">IF(D20="JASA",G20*F20,0)</f>
        <v>0</v>
      </c>
      <c r="K20" s="362">
        <f t="shared" ref="K20:K45" ca="1" si="11">SUM(H20:J20)</f>
        <v>0</v>
      </c>
    </row>
    <row r="21" spans="1:22">
      <c r="B21" s="502" t="s">
        <v>1035</v>
      </c>
      <c r="C21" s="499" t="s">
        <v>1617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497">
        <v>1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</row>
    <row r="22" spans="1:22">
      <c r="B22" s="502">
        <v>1</v>
      </c>
      <c r="C22" s="499" t="s">
        <v>229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97">
        <f>F21*1</f>
        <v>1</v>
      </c>
      <c r="G22" s="360">
        <f ca="1">IF(ISERROR(OFFSET('HARGA SATUAN'!$I$6,MATCH(RAB!C22,'HARGA SATUAN'!$C$7:$C$1492,0),0)),0,OFFSET('HARGA SATUAN'!$I$6,MATCH(RAB!C22,'HARGA SATUAN'!$C$7:$C$1492,0),0))</f>
        <v>4212</v>
      </c>
      <c r="H22" s="361">
        <f t="shared" ca="1" si="8"/>
        <v>0</v>
      </c>
      <c r="I22" s="361">
        <f t="shared" ca="1" si="9"/>
        <v>4212</v>
      </c>
      <c r="J22" s="361">
        <f t="shared" ca="1" si="10"/>
        <v>0</v>
      </c>
      <c r="K22" s="362">
        <f t="shared" ca="1" si="11"/>
        <v>4212</v>
      </c>
    </row>
    <row r="23" spans="1:22">
      <c r="B23" s="502">
        <v>2</v>
      </c>
      <c r="C23" s="499" t="s">
        <v>266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Mtr</v>
      </c>
      <c r="F23" s="497">
        <f>F21*1</f>
        <v>1</v>
      </c>
      <c r="G23" s="360">
        <f ca="1">IF(ISERROR(OFFSET('HARGA SATUAN'!$I$6,MATCH(RAB!C23,'HARGA SATUAN'!$C$7:$C$1492,0),0)),0,OFFSET('HARGA SATUAN'!$I$6,MATCH(RAB!C23,'HARGA SATUAN'!$C$7:$C$1492,0),0))</f>
        <v>23310</v>
      </c>
      <c r="H23" s="361">
        <f t="shared" ca="1" si="8"/>
        <v>0</v>
      </c>
      <c r="I23" s="361">
        <f t="shared" ca="1" si="9"/>
        <v>23310</v>
      </c>
      <c r="J23" s="361">
        <f t="shared" ca="1" si="10"/>
        <v>0</v>
      </c>
      <c r="K23" s="362">
        <f t="shared" ca="1" si="11"/>
        <v>23310</v>
      </c>
    </row>
    <row r="24" spans="1:22">
      <c r="B24" s="502">
        <v>3</v>
      </c>
      <c r="C24" s="499" t="s">
        <v>35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497">
        <f>F21*1</f>
        <v>1</v>
      </c>
      <c r="G24" s="360">
        <f ca="1">IF(ISERROR(OFFSET('HARGA SATUAN'!$I$6,MATCH(RAB!C24,'HARGA SATUAN'!$C$7:$C$1492,0),0)),0,OFFSET('HARGA SATUAN'!$I$6,MATCH(RAB!C24,'HARGA SATUAN'!$C$7:$C$1492,0),0))</f>
        <v>2300</v>
      </c>
      <c r="H24" s="361">
        <f t="shared" ca="1" si="8"/>
        <v>0</v>
      </c>
      <c r="I24" s="361">
        <f t="shared" ca="1" si="9"/>
        <v>2300</v>
      </c>
      <c r="J24" s="361">
        <f t="shared" ca="1" si="10"/>
        <v>0</v>
      </c>
      <c r="K24" s="362">
        <f t="shared" ca="1" si="11"/>
        <v>2300</v>
      </c>
    </row>
    <row r="25" spans="1:22">
      <c r="B25" s="502">
        <v>4</v>
      </c>
      <c r="C25" s="499" t="s">
        <v>609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97">
        <f>F21*1</f>
        <v>1</v>
      </c>
      <c r="G25" s="360">
        <f ca="1">IF(ISERROR(OFFSET('HARGA SATUAN'!$I$6,MATCH(RAB!C25,'HARGA SATUAN'!$C$7:$C$1492,0),0)),0,OFFSET('HARGA SATUAN'!$I$6,MATCH(RAB!C25,'HARGA SATUAN'!$C$7:$C$1492,0),0))</f>
        <v>71000</v>
      </c>
      <c r="H25" s="361">
        <f t="shared" ca="1" si="8"/>
        <v>0</v>
      </c>
      <c r="I25" s="361">
        <f t="shared" ca="1" si="9"/>
        <v>71000</v>
      </c>
      <c r="J25" s="361">
        <f t="shared" ca="1" si="10"/>
        <v>0</v>
      </c>
      <c r="K25" s="362">
        <f t="shared" ca="1" si="11"/>
        <v>71000</v>
      </c>
    </row>
    <row r="26" spans="1:22">
      <c r="B26" s="502">
        <v>5</v>
      </c>
      <c r="C26" s="499" t="s">
        <v>629</v>
      </c>
      <c r="D26" s="358" t="str">
        <f ca="1">IF(ISERROR(OFFSET('HARGA SATUAN'!$D$6,MATCH(RAB!C26,'HARGA SATUAN'!$C$7:$C$1492,0),0)),"",OFFSET('HARGA SATUAN'!$D$6,MATCH(RAB!C26,'HARGA SATUAN'!$C$7:$C$1492,0),0))</f>
        <v>JASA</v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497">
        <f>F21*1</f>
        <v>1</v>
      </c>
      <c r="G26" s="360">
        <f ca="1">IF(ISERROR(OFFSET('HARGA SATUAN'!$I$6,MATCH(RAB!C26,'HARGA SATUAN'!$C$7:$C$1492,0),0)),0,OFFSET('HARGA SATUAN'!$I$6,MATCH(RAB!C26,'HARGA SATUAN'!$C$7:$C$1492,0),0))</f>
        <v>29400</v>
      </c>
      <c r="H26" s="361">
        <f t="shared" ca="1" si="8"/>
        <v>0</v>
      </c>
      <c r="I26" s="361">
        <f t="shared" ca="1" si="9"/>
        <v>0</v>
      </c>
      <c r="J26" s="361">
        <f t="shared" ca="1" si="10"/>
        <v>29400</v>
      </c>
      <c r="K26" s="362">
        <f t="shared" ca="1" si="11"/>
        <v>29400</v>
      </c>
    </row>
    <row r="27" spans="1:22">
      <c r="B27" s="502"/>
      <c r="C27" s="499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497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8"/>
        <v>0</v>
      </c>
      <c r="I27" s="361">
        <f t="shared" ca="1" si="9"/>
        <v>0</v>
      </c>
      <c r="J27" s="361">
        <f t="shared" ca="1" si="10"/>
        <v>0</v>
      </c>
      <c r="K27" s="362">
        <f t="shared" ca="1" si="11"/>
        <v>0</v>
      </c>
    </row>
    <row r="28" spans="1:22">
      <c r="B28" s="502" t="s">
        <v>1035</v>
      </c>
      <c r="C28" s="499" t="s">
        <v>1618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497">
        <v>2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8"/>
        <v>0</v>
      </c>
      <c r="I28" s="361">
        <f t="shared" ca="1" si="9"/>
        <v>0</v>
      </c>
      <c r="J28" s="361">
        <f t="shared" ca="1" si="10"/>
        <v>0</v>
      </c>
      <c r="K28" s="362">
        <f t="shared" ca="1" si="11"/>
        <v>0</v>
      </c>
    </row>
    <row r="29" spans="1:22">
      <c r="B29" s="502">
        <v>1</v>
      </c>
      <c r="C29" s="499" t="s">
        <v>595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7">
        <f>F28*1</f>
        <v>2</v>
      </c>
      <c r="G29" s="360">
        <f ca="1">IF(ISERROR(OFFSET('HARGA SATUAN'!$I$6,MATCH(RAB!C29,'HARGA SATUAN'!$C$7:$C$1492,0),0)),0,OFFSET('HARGA SATUAN'!$I$6,MATCH(RAB!C29,'HARGA SATUAN'!$C$7:$C$1492,0),0))</f>
        <v>78500</v>
      </c>
      <c r="H29" s="361">
        <f t="shared" ca="1" si="8"/>
        <v>0</v>
      </c>
      <c r="I29" s="361">
        <f t="shared" ca="1" si="9"/>
        <v>157000</v>
      </c>
      <c r="J29" s="361">
        <f t="shared" ca="1" si="10"/>
        <v>0</v>
      </c>
      <c r="K29" s="362">
        <f t="shared" ca="1" si="11"/>
        <v>157000</v>
      </c>
    </row>
    <row r="30" spans="1:22">
      <c r="B30" s="502">
        <v>2</v>
      </c>
      <c r="C30" s="499" t="s">
        <v>229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7">
        <f>F28*1</f>
        <v>2</v>
      </c>
      <c r="G30" s="360">
        <f ca="1">IF(ISERROR(OFFSET('HARGA SATUAN'!$I$6,MATCH(RAB!C30,'HARGA SATUAN'!$C$7:$C$1492,0),0)),0,OFFSET('HARGA SATUAN'!$I$6,MATCH(RAB!C30,'HARGA SATUAN'!$C$7:$C$1492,0),0))</f>
        <v>4212</v>
      </c>
      <c r="H30" s="361">
        <f t="shared" ca="1" si="8"/>
        <v>0</v>
      </c>
      <c r="I30" s="361">
        <f t="shared" ca="1" si="9"/>
        <v>8424</v>
      </c>
      <c r="J30" s="361">
        <f t="shared" ca="1" si="10"/>
        <v>0</v>
      </c>
      <c r="K30" s="362">
        <f t="shared" ca="1" si="11"/>
        <v>8424</v>
      </c>
    </row>
    <row r="31" spans="1:22">
      <c r="B31" s="502">
        <v>3</v>
      </c>
      <c r="C31" s="499" t="s">
        <v>266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Mtr</v>
      </c>
      <c r="F31" s="497">
        <f>F28*1</f>
        <v>2</v>
      </c>
      <c r="G31" s="360">
        <f ca="1">IF(ISERROR(OFFSET('HARGA SATUAN'!$I$6,MATCH(RAB!C31,'HARGA SATUAN'!$C$7:$C$1492,0),0)),0,OFFSET('HARGA SATUAN'!$I$6,MATCH(RAB!C31,'HARGA SATUAN'!$C$7:$C$1492,0),0))</f>
        <v>23310</v>
      </c>
      <c r="H31" s="361">
        <f t="shared" ca="1" si="8"/>
        <v>0</v>
      </c>
      <c r="I31" s="361">
        <f t="shared" ca="1" si="9"/>
        <v>46620</v>
      </c>
      <c r="J31" s="361">
        <f t="shared" ca="1" si="10"/>
        <v>0</v>
      </c>
      <c r="K31" s="362">
        <f t="shared" ca="1" si="11"/>
        <v>46620</v>
      </c>
    </row>
    <row r="32" spans="1:22">
      <c r="B32" s="502">
        <v>4</v>
      </c>
      <c r="C32" s="499" t="s">
        <v>35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7">
        <f>F28*1</f>
        <v>2</v>
      </c>
      <c r="G32" s="360">
        <f ca="1">IF(ISERROR(OFFSET('HARGA SATUAN'!$I$6,MATCH(RAB!C32,'HARGA SATUAN'!$C$7:$C$1492,0),0)),0,OFFSET('HARGA SATUAN'!$I$6,MATCH(RAB!C32,'HARGA SATUAN'!$C$7:$C$1492,0),0))</f>
        <v>2300</v>
      </c>
      <c r="H32" s="361">
        <f t="shared" ca="1" si="8"/>
        <v>0</v>
      </c>
      <c r="I32" s="361">
        <f t="shared" ca="1" si="9"/>
        <v>4600</v>
      </c>
      <c r="J32" s="361">
        <f t="shared" ca="1" si="10"/>
        <v>0</v>
      </c>
      <c r="K32" s="362">
        <f t="shared" ca="1" si="11"/>
        <v>4600</v>
      </c>
    </row>
    <row r="33" spans="2:11">
      <c r="B33" s="502">
        <v>5</v>
      </c>
      <c r="C33" s="499" t="s">
        <v>630</v>
      </c>
      <c r="D33" s="358" t="str">
        <f ca="1">IF(ISERROR(OFFSET('HARGA SATUAN'!$D$6,MATCH(RAB!C33,'HARGA SATUAN'!$C$7:$C$1492,0),0)),"",OFFSET('HARGA SATUAN'!$D$6,MATCH(RAB!C33,'HARGA SATUAN'!$C$7:$C$1492,0),0))</f>
        <v>JASA</v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497">
        <f>F28*1</f>
        <v>2</v>
      </c>
      <c r="G33" s="360">
        <f ca="1">IF(ISERROR(OFFSET('HARGA SATUAN'!$I$6,MATCH(RAB!C33,'HARGA SATUAN'!$C$7:$C$1492,0),0)),0,OFFSET('HARGA SATUAN'!$I$6,MATCH(RAB!C33,'HARGA SATUAN'!$C$7:$C$1492,0),0))</f>
        <v>35700</v>
      </c>
      <c r="H33" s="361">
        <f t="shared" ca="1" si="8"/>
        <v>0</v>
      </c>
      <c r="I33" s="361">
        <f t="shared" ca="1" si="9"/>
        <v>0</v>
      </c>
      <c r="J33" s="361">
        <f t="shared" ca="1" si="10"/>
        <v>71400</v>
      </c>
      <c r="K33" s="362">
        <f t="shared" ca="1" si="11"/>
        <v>71400</v>
      </c>
    </row>
    <row r="34" spans="2:11">
      <c r="B34" s="492"/>
      <c r="C34" s="495"/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368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ca="1" si="8"/>
        <v>0</v>
      </c>
      <c r="I34" s="361">
        <f t="shared" ca="1" si="9"/>
        <v>0</v>
      </c>
      <c r="J34" s="361">
        <f t="shared" ca="1" si="10"/>
        <v>0</v>
      </c>
      <c r="K34" s="362">
        <f t="shared" ca="1" si="11"/>
        <v>0</v>
      </c>
    </row>
    <row r="35" spans="2:11">
      <c r="B35" s="515" t="s">
        <v>1035</v>
      </c>
      <c r="C35" s="516" t="s">
        <v>1625</v>
      </c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497">
        <v>1</v>
      </c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ref="H35:H41" ca="1" si="12">IF(OR(D35="MDU",D35="MDU-KD"),(IF($O$3="RAB NON MDU","PLN KD",G35*F35)),0)</f>
        <v>0</v>
      </c>
      <c r="I35" s="361">
        <f t="shared" ref="I35:I41" ca="1" si="13">IF(D35="HDW",G35*F35,0)</f>
        <v>0</v>
      </c>
      <c r="J35" s="361">
        <f t="shared" ref="J35:J41" ca="1" si="14">IF(D35="JASA",G35*F35,0)</f>
        <v>0</v>
      </c>
      <c r="K35" s="362">
        <f t="shared" ref="K35:K41" ca="1" si="15">SUM(H35:J35)</f>
        <v>0</v>
      </c>
    </row>
    <row r="36" spans="2:11">
      <c r="B36" s="515">
        <v>1</v>
      </c>
      <c r="C36" s="516" t="s">
        <v>598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97">
        <f>F35*1</f>
        <v>1</v>
      </c>
      <c r="G36" s="360">
        <f ca="1">IF(ISERROR(OFFSET('HARGA SATUAN'!$I$6,MATCH(RAB!C36,'HARGA SATUAN'!$C$7:$C$1492,0),0)),0,OFFSET('HARGA SATUAN'!$I$6,MATCH(RAB!C36,'HARGA SATUAN'!$C$7:$C$1492,0),0))</f>
        <v>3965</v>
      </c>
      <c r="H36" s="361">
        <f t="shared" ca="1" si="12"/>
        <v>0</v>
      </c>
      <c r="I36" s="361">
        <f t="shared" ca="1" si="13"/>
        <v>3965</v>
      </c>
      <c r="J36" s="361">
        <f t="shared" ca="1" si="14"/>
        <v>0</v>
      </c>
      <c r="K36" s="362">
        <f t="shared" ca="1" si="15"/>
        <v>3965</v>
      </c>
    </row>
    <row r="37" spans="2:11">
      <c r="B37" s="515">
        <v>2</v>
      </c>
      <c r="C37" s="516" t="s">
        <v>474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7">
        <f>F35*1</f>
        <v>1</v>
      </c>
      <c r="G37" s="360">
        <f ca="1">IF(ISERROR(OFFSET('HARGA SATUAN'!$I$6,MATCH(RAB!C37,'HARGA SATUAN'!$C$7:$C$1492,0),0)),0,OFFSET('HARGA SATUAN'!$I$6,MATCH(RAB!C37,'HARGA SATUAN'!$C$7:$C$1492,0),0))</f>
        <v>3711.24</v>
      </c>
      <c r="H37" s="361">
        <f t="shared" ca="1" si="12"/>
        <v>0</v>
      </c>
      <c r="I37" s="361">
        <f t="shared" ca="1" si="13"/>
        <v>3711.24</v>
      </c>
      <c r="J37" s="361">
        <f t="shared" ca="1" si="14"/>
        <v>0</v>
      </c>
      <c r="K37" s="362">
        <f t="shared" ca="1" si="15"/>
        <v>3711.24</v>
      </c>
    </row>
    <row r="38" spans="2:11">
      <c r="B38" s="515">
        <v>3</v>
      </c>
      <c r="C38" s="516" t="s">
        <v>266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Mtr</v>
      </c>
      <c r="F38" s="497">
        <f>F35*1</f>
        <v>1</v>
      </c>
      <c r="G38" s="360">
        <f ca="1">IF(ISERROR(OFFSET('HARGA SATUAN'!$I$6,MATCH(RAB!C38,'HARGA SATUAN'!$C$7:$C$1492,0),0)),0,OFFSET('HARGA SATUAN'!$I$6,MATCH(RAB!C38,'HARGA SATUAN'!$C$7:$C$1492,0),0))</f>
        <v>23310</v>
      </c>
      <c r="H38" s="361">
        <f t="shared" ca="1" si="12"/>
        <v>0</v>
      </c>
      <c r="I38" s="361">
        <f t="shared" ca="1" si="13"/>
        <v>23310</v>
      </c>
      <c r="J38" s="361">
        <f t="shared" ca="1" si="14"/>
        <v>0</v>
      </c>
      <c r="K38" s="362">
        <f t="shared" ca="1" si="15"/>
        <v>23310</v>
      </c>
    </row>
    <row r="39" spans="2:11">
      <c r="B39" s="515">
        <v>4</v>
      </c>
      <c r="C39" s="516" t="s">
        <v>35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97">
        <f>F35*1</f>
        <v>1</v>
      </c>
      <c r="G39" s="360">
        <f ca="1">IF(ISERROR(OFFSET('HARGA SATUAN'!$I$6,MATCH(RAB!C39,'HARGA SATUAN'!$C$7:$C$1492,0),0)),0,OFFSET('HARGA SATUAN'!$I$6,MATCH(RAB!C39,'HARGA SATUAN'!$C$7:$C$1492,0),0))</f>
        <v>2300</v>
      </c>
      <c r="H39" s="361">
        <f t="shared" ca="1" si="12"/>
        <v>0</v>
      </c>
      <c r="I39" s="361">
        <f t="shared" ca="1" si="13"/>
        <v>2300</v>
      </c>
      <c r="J39" s="361">
        <f t="shared" ca="1" si="14"/>
        <v>0</v>
      </c>
      <c r="K39" s="362">
        <f t="shared" ca="1" si="15"/>
        <v>2300</v>
      </c>
    </row>
    <row r="40" spans="2:11">
      <c r="B40" s="515">
        <v>5</v>
      </c>
      <c r="C40" s="516" t="s">
        <v>632</v>
      </c>
      <c r="D40" s="358" t="str">
        <f ca="1">IF(ISERROR(OFFSET('HARGA SATUAN'!$D$6,MATCH(RAB!C40,'HARGA SATUAN'!$C$7:$C$1492,0),0)),"",OFFSET('HARGA SATUAN'!$D$6,MATCH(RAB!C40,'HARGA SATUAN'!$C$7:$C$1492,0),0))</f>
        <v>JASA</v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497">
        <f>F35*1</f>
        <v>1</v>
      </c>
      <c r="G40" s="360">
        <f ca="1">IF(ISERROR(OFFSET('HARGA SATUAN'!$I$6,MATCH(RAB!C40,'HARGA SATUAN'!$C$7:$C$1492,0),0)),0,OFFSET('HARGA SATUAN'!$I$6,MATCH(RAB!C40,'HARGA SATUAN'!$C$7:$C$1492,0),0))</f>
        <v>22700</v>
      </c>
      <c r="H40" s="361">
        <f t="shared" ca="1" si="12"/>
        <v>0</v>
      </c>
      <c r="I40" s="361">
        <f t="shared" ca="1" si="13"/>
        <v>0</v>
      </c>
      <c r="J40" s="361">
        <f t="shared" ca="1" si="14"/>
        <v>22700</v>
      </c>
      <c r="K40" s="362">
        <f t="shared" ca="1" si="15"/>
        <v>22700</v>
      </c>
    </row>
    <row r="41" spans="2:11">
      <c r="B41" s="492"/>
      <c r="C41" s="495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368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12"/>
        <v>0</v>
      </c>
      <c r="I41" s="361">
        <f t="shared" ca="1" si="13"/>
        <v>0</v>
      </c>
      <c r="J41" s="361">
        <f t="shared" ca="1" si="14"/>
        <v>0</v>
      </c>
      <c r="K41" s="362">
        <f t="shared" ca="1" si="15"/>
        <v>0</v>
      </c>
    </row>
    <row r="42" spans="2:11">
      <c r="B42" s="492"/>
      <c r="C42" s="503" t="s">
        <v>1619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368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8"/>
        <v>0</v>
      </c>
      <c r="I42" s="361">
        <f t="shared" ca="1" si="9"/>
        <v>0</v>
      </c>
      <c r="J42" s="361">
        <f t="shared" ca="1" si="10"/>
        <v>0</v>
      </c>
      <c r="K42" s="362">
        <f t="shared" ca="1" si="11"/>
        <v>0</v>
      </c>
    </row>
    <row r="43" spans="2:11">
      <c r="B43" s="492">
        <v>1</v>
      </c>
      <c r="C43" s="109" t="s">
        <v>1402</v>
      </c>
      <c r="D43" s="358" t="str">
        <f ca="1">IF(ISERROR(OFFSET('HARGA SATUAN'!$D$6,MATCH(RAB!C43,'HARGA SATUAN'!$C$7:$C$1492,0),0)),"",OFFSET('HARGA SATUAN'!$D$6,MATCH(RAB!C43,'HARGA SATUAN'!$C$7:$C$1492,0),0))</f>
        <v>MDU-KD</v>
      </c>
      <c r="E43" s="359" t="str">
        <f ca="1">IF(B43="+","Unit",IF(ISERROR(OFFSET('HARGA SATUAN'!$E$6,MATCH(RAB!C43,'HARGA SATUAN'!$C$7:$C$1492,0),0)),"",OFFSET('HARGA SATUAN'!$E$6,MATCH(RAB!C43,'HARGA SATUAN'!$C$7:$C$1492,0),0)))</f>
        <v>Mtr</v>
      </c>
      <c r="F43" s="368">
        <v>80</v>
      </c>
      <c r="G43" s="360">
        <f ca="1">IF(ISERROR(OFFSET('HARGA SATUAN'!$I$6,MATCH(RAB!C43,'HARGA SATUAN'!$C$7:$C$1492,0),0)),0,OFFSET('HARGA SATUAN'!$I$6,MATCH(RAB!C43,'HARGA SATUAN'!$C$7:$C$1492,0),0))</f>
        <v>53300</v>
      </c>
      <c r="H43" s="361">
        <f t="shared" ca="1" si="8"/>
        <v>4264000</v>
      </c>
      <c r="I43" s="361">
        <f t="shared" ca="1" si="9"/>
        <v>0</v>
      </c>
      <c r="J43" s="361">
        <f t="shared" ca="1" si="10"/>
        <v>0</v>
      </c>
      <c r="K43" s="362">
        <f t="shared" ca="1" si="11"/>
        <v>4264000</v>
      </c>
    </row>
    <row r="44" spans="2:11">
      <c r="B44" s="492">
        <v>2</v>
      </c>
      <c r="C44" s="109" t="s">
        <v>347</v>
      </c>
      <c r="D44" s="512" t="s">
        <v>47</v>
      </c>
      <c r="E44" s="513" t="s">
        <v>297</v>
      </c>
      <c r="F44" s="513">
        <f>F43/50</f>
        <v>1.6</v>
      </c>
      <c r="G44" s="514">
        <v>100000</v>
      </c>
      <c r="H44" s="361">
        <f t="shared" si="8"/>
        <v>0</v>
      </c>
      <c r="I44" s="361">
        <f t="shared" si="9"/>
        <v>0</v>
      </c>
      <c r="J44" s="361">
        <f t="shared" si="10"/>
        <v>160000</v>
      </c>
      <c r="K44" s="362">
        <f t="shared" si="11"/>
        <v>160000</v>
      </c>
    </row>
    <row r="45" spans="2:11">
      <c r="B45" s="492"/>
      <c r="C45" s="495"/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/>
      </c>
      <c r="F45" s="368"/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ca="1" si="8"/>
        <v>0</v>
      </c>
      <c r="I45" s="361">
        <f t="shared" ca="1" si="9"/>
        <v>0</v>
      </c>
      <c r="J45" s="361">
        <f t="shared" ca="1" si="10"/>
        <v>0</v>
      </c>
      <c r="K45" s="362">
        <f t="shared" ca="1" si="11"/>
        <v>0</v>
      </c>
    </row>
    <row r="46" spans="2:11">
      <c r="B46" s="492"/>
      <c r="C46" s="503" t="s">
        <v>1623</v>
      </c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368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ref="H46:H68" ca="1" si="16">IF(OR(D46="MDU",D46="MDU-KD"),(IF($O$3="RAB NON MDU","PLN KD",G46*F46)),0)</f>
        <v>0</v>
      </c>
      <c r="I46" s="361">
        <f t="shared" ref="I46:I68" ca="1" si="17">IF(D46="HDW",G46*F46,0)</f>
        <v>0</v>
      </c>
      <c r="J46" s="361">
        <f t="shared" ref="J46:J68" ca="1" si="18">IF(D46="JASA",G46*F46,0)</f>
        <v>0</v>
      </c>
      <c r="K46" s="362">
        <f t="shared" ref="K46:K68" ca="1" si="19">SUM(H46:J46)</f>
        <v>0</v>
      </c>
    </row>
    <row r="47" spans="2:11">
      <c r="B47" s="504" t="s">
        <v>1035</v>
      </c>
      <c r="C47" s="505" t="s">
        <v>1620</v>
      </c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497">
        <v>1</v>
      </c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16"/>
        <v>0</v>
      </c>
      <c r="I47" s="361">
        <f t="shared" ca="1" si="17"/>
        <v>0</v>
      </c>
      <c r="J47" s="361">
        <f t="shared" ca="1" si="18"/>
        <v>0</v>
      </c>
      <c r="K47" s="362">
        <f t="shared" ca="1" si="19"/>
        <v>0</v>
      </c>
    </row>
    <row r="48" spans="2:11">
      <c r="B48" s="504">
        <v>1</v>
      </c>
      <c r="C48" s="505" t="s">
        <v>28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97">
        <f>F47*1</f>
        <v>1</v>
      </c>
      <c r="G48" s="360">
        <f ca="1">IF(ISERROR(OFFSET('HARGA SATUAN'!$I$6,MATCH(RAB!C48,'HARGA SATUAN'!$C$7:$C$1492,0),0)),0,OFFSET('HARGA SATUAN'!$I$6,MATCH(RAB!C48,'HARGA SATUAN'!$C$7:$C$1492,0),0))</f>
        <v>26500</v>
      </c>
      <c r="H48" s="361">
        <f t="shared" ca="1" si="16"/>
        <v>0</v>
      </c>
      <c r="I48" s="361">
        <f t="shared" ca="1" si="17"/>
        <v>26500</v>
      </c>
      <c r="J48" s="361">
        <f t="shared" ca="1" si="18"/>
        <v>0</v>
      </c>
      <c r="K48" s="362">
        <f t="shared" ca="1" si="19"/>
        <v>26500</v>
      </c>
    </row>
    <row r="49" spans="2:11">
      <c r="B49" s="504">
        <v>2</v>
      </c>
      <c r="C49" s="505" t="s">
        <v>203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497">
        <f>F47*1</f>
        <v>1</v>
      </c>
      <c r="G49" s="360">
        <f ca="1">IF(ISERROR(OFFSET('HARGA SATUAN'!$I$6,MATCH(RAB!C49,'HARGA SATUAN'!$C$7:$C$1492,0),0)),0,OFFSET('HARGA SATUAN'!$I$6,MATCH(RAB!C49,'HARGA SATUAN'!$C$7:$C$1492,0),0))</f>
        <v>12500</v>
      </c>
      <c r="H49" s="361">
        <f t="shared" ca="1" si="16"/>
        <v>0</v>
      </c>
      <c r="I49" s="361">
        <f t="shared" ca="1" si="17"/>
        <v>12500</v>
      </c>
      <c r="J49" s="361">
        <f t="shared" ca="1" si="18"/>
        <v>0</v>
      </c>
      <c r="K49" s="362">
        <f t="shared" ca="1" si="19"/>
        <v>12500</v>
      </c>
    </row>
    <row r="50" spans="2:11">
      <c r="B50" s="504">
        <v>3</v>
      </c>
      <c r="C50" s="505" t="s">
        <v>206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Mtr</v>
      </c>
      <c r="F50" s="497">
        <f>F47*12</f>
        <v>12</v>
      </c>
      <c r="G50" s="360">
        <f ca="1">IF(ISERROR(OFFSET('HARGA SATUAN'!$I$6,MATCH(RAB!C50,'HARGA SATUAN'!$C$7:$C$1492,0),0)),0,OFFSET('HARGA SATUAN'!$I$6,MATCH(RAB!C50,'HARGA SATUAN'!$C$7:$C$1492,0),0))</f>
        <v>39204</v>
      </c>
      <c r="H50" s="361">
        <f t="shared" ca="1" si="16"/>
        <v>0</v>
      </c>
      <c r="I50" s="361">
        <f t="shared" ca="1" si="17"/>
        <v>470448</v>
      </c>
      <c r="J50" s="361">
        <f t="shared" ca="1" si="18"/>
        <v>0</v>
      </c>
      <c r="K50" s="362">
        <f t="shared" ca="1" si="19"/>
        <v>470448</v>
      </c>
    </row>
    <row r="51" spans="2:11">
      <c r="B51" s="504">
        <v>4</v>
      </c>
      <c r="C51" s="505" t="s">
        <v>287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497">
        <f>F47*2</f>
        <v>2</v>
      </c>
      <c r="G51" s="360">
        <f ca="1">IF(ISERROR(OFFSET('HARGA SATUAN'!$I$6,MATCH(RAB!C51,'HARGA SATUAN'!$C$7:$C$1492,0),0)),0,OFFSET('HARGA SATUAN'!$I$6,MATCH(RAB!C51,'HARGA SATUAN'!$C$7:$C$1492,0),0))</f>
        <v>40000</v>
      </c>
      <c r="H51" s="361">
        <f t="shared" ca="1" si="16"/>
        <v>0</v>
      </c>
      <c r="I51" s="361">
        <f t="shared" ca="1" si="17"/>
        <v>80000</v>
      </c>
      <c r="J51" s="361">
        <f t="shared" ca="1" si="18"/>
        <v>0</v>
      </c>
      <c r="K51" s="362">
        <f t="shared" ca="1" si="19"/>
        <v>80000</v>
      </c>
    </row>
    <row r="52" spans="2:11">
      <c r="B52" s="504">
        <v>5</v>
      </c>
      <c r="C52" s="505" t="s">
        <v>26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497">
        <f>F47*1</f>
        <v>1</v>
      </c>
      <c r="G52" s="360">
        <f ca="1">IF(ISERROR(OFFSET('HARGA SATUAN'!$I$6,MATCH(RAB!C52,'HARGA SATUAN'!$C$7:$C$1492,0),0)),0,OFFSET('HARGA SATUAN'!$I$6,MATCH(RAB!C52,'HARGA SATUAN'!$C$7:$C$1492,0),0))</f>
        <v>2500</v>
      </c>
      <c r="H52" s="361">
        <f t="shared" ca="1" si="16"/>
        <v>0</v>
      </c>
      <c r="I52" s="361">
        <f t="shared" ca="1" si="17"/>
        <v>2500</v>
      </c>
      <c r="J52" s="361">
        <f t="shared" ca="1" si="18"/>
        <v>0</v>
      </c>
      <c r="K52" s="362">
        <f t="shared" ca="1" si="19"/>
        <v>2500</v>
      </c>
    </row>
    <row r="53" spans="2:11">
      <c r="B53" s="504">
        <v>6</v>
      </c>
      <c r="C53" s="505" t="s">
        <v>760</v>
      </c>
      <c r="D53" s="358" t="str">
        <f ca="1">IF(ISERROR(OFFSET('HARGA SATUAN'!$D$6,MATCH(RAB!C53,'HARGA SATUAN'!$C$7:$C$1492,0),0)),"",OFFSET('HARGA SATUAN'!$D$6,MATCH(RAB!C53,'HARGA SATUAN'!$C$7:$C$1492,0),0))</f>
        <v>JASA</v>
      </c>
      <c r="E53" s="359" t="str">
        <f ca="1">IF(B53="+","Unit",IF(ISERROR(OFFSET('HARGA SATUAN'!$E$6,MATCH(RAB!C53,'HARGA SATUAN'!$C$7:$C$1492,0),0)),"",OFFSET('HARGA SATUAN'!$E$6,MATCH(RAB!C53,'HARGA SATUAN'!$C$7:$C$1492,0),0)))</f>
        <v>Unit</v>
      </c>
      <c r="F53" s="497">
        <f>F47*1</f>
        <v>1</v>
      </c>
      <c r="G53" s="360">
        <f ca="1">IF(ISERROR(OFFSET('HARGA SATUAN'!$I$6,MATCH(RAB!C53,'HARGA SATUAN'!$C$7:$C$1492,0),0)),0,OFFSET('HARGA SATUAN'!$I$6,MATCH(RAB!C53,'HARGA SATUAN'!$C$7:$C$1492,0),0))</f>
        <v>36600</v>
      </c>
      <c r="H53" s="361">
        <f t="shared" ca="1" si="16"/>
        <v>0</v>
      </c>
      <c r="I53" s="361">
        <f t="shared" ca="1" si="17"/>
        <v>0</v>
      </c>
      <c r="J53" s="361">
        <f t="shared" ca="1" si="18"/>
        <v>36600</v>
      </c>
      <c r="K53" s="362">
        <f t="shared" ca="1" si="19"/>
        <v>36600</v>
      </c>
    </row>
    <row r="54" spans="2:11">
      <c r="B54" s="492"/>
      <c r="C54" s="495"/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/>
      </c>
      <c r="F54" s="368"/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16"/>
        <v>0</v>
      </c>
      <c r="I54" s="361">
        <f t="shared" ca="1" si="17"/>
        <v>0</v>
      </c>
      <c r="J54" s="361">
        <f t="shared" ca="1" si="18"/>
        <v>0</v>
      </c>
      <c r="K54" s="362">
        <f t="shared" ca="1" si="19"/>
        <v>0</v>
      </c>
    </row>
    <row r="55" spans="2:11">
      <c r="B55" s="504" t="s">
        <v>1035</v>
      </c>
      <c r="C55" s="505" t="s">
        <v>1621</v>
      </c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497">
        <f>F47</f>
        <v>1</v>
      </c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16"/>
        <v>0</v>
      </c>
      <c r="I55" s="361">
        <f t="shared" ca="1" si="17"/>
        <v>0</v>
      </c>
      <c r="J55" s="361">
        <f t="shared" ca="1" si="18"/>
        <v>0</v>
      </c>
      <c r="K55" s="362">
        <f t="shared" ca="1" si="19"/>
        <v>0</v>
      </c>
    </row>
    <row r="56" spans="2:11">
      <c r="B56" s="506">
        <v>1</v>
      </c>
      <c r="C56" s="507" t="s">
        <v>597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497">
        <f>F55*1</f>
        <v>1</v>
      </c>
      <c r="G56" s="360">
        <f ca="1">IF(ISERROR(OFFSET('HARGA SATUAN'!$I$6,MATCH(RAB!C56,'HARGA SATUAN'!$C$7:$C$1492,0),0)),0,OFFSET('HARGA SATUAN'!$I$6,MATCH(RAB!C56,'HARGA SATUAN'!$C$7:$C$1492,0),0))</f>
        <v>120900</v>
      </c>
      <c r="H56" s="361">
        <f t="shared" ca="1" si="16"/>
        <v>0</v>
      </c>
      <c r="I56" s="361">
        <f t="shared" ca="1" si="17"/>
        <v>120900</v>
      </c>
      <c r="J56" s="361">
        <f t="shared" ca="1" si="18"/>
        <v>0</v>
      </c>
      <c r="K56" s="362">
        <f t="shared" ca="1" si="19"/>
        <v>120900</v>
      </c>
    </row>
    <row r="57" spans="2:11">
      <c r="B57" s="498">
        <v>2</v>
      </c>
      <c r="C57" s="500" t="s">
        <v>261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497">
        <f>F55*1</f>
        <v>1</v>
      </c>
      <c r="G57" s="360">
        <f ca="1">IF(ISERROR(OFFSET('HARGA SATUAN'!$I$6,MATCH(RAB!C57,'HARGA SATUAN'!$C$7:$C$1492,0),0)),0,OFFSET('HARGA SATUAN'!$I$6,MATCH(RAB!C57,'HARGA SATUAN'!$C$7:$C$1492,0),0))</f>
        <v>135800</v>
      </c>
      <c r="H57" s="361">
        <f t="shared" ca="1" si="16"/>
        <v>0</v>
      </c>
      <c r="I57" s="361">
        <f t="shared" ca="1" si="17"/>
        <v>135800</v>
      </c>
      <c r="J57" s="361">
        <f t="shared" ca="1" si="18"/>
        <v>0</v>
      </c>
      <c r="K57" s="362">
        <f t="shared" ca="1" si="19"/>
        <v>135800</v>
      </c>
    </row>
    <row r="58" spans="2:11">
      <c r="B58" s="498">
        <v>3</v>
      </c>
      <c r="C58" s="501" t="s">
        <v>214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8">
        <f>F55*1</f>
        <v>1</v>
      </c>
      <c r="G58" s="360">
        <f ca="1">IF(ISERROR(OFFSET('HARGA SATUAN'!$I$6,MATCH(RAB!C58,'HARGA SATUAN'!$C$7:$C$1492,0),0)),0,OFFSET('HARGA SATUAN'!$I$6,MATCH(RAB!C58,'HARGA SATUAN'!$C$7:$C$1492,0),0))</f>
        <v>4500</v>
      </c>
      <c r="H58" s="361">
        <f t="shared" ca="1" si="16"/>
        <v>0</v>
      </c>
      <c r="I58" s="361">
        <f t="shared" ca="1" si="17"/>
        <v>4500</v>
      </c>
      <c r="J58" s="361">
        <f t="shared" ca="1" si="18"/>
        <v>0</v>
      </c>
      <c r="K58" s="362">
        <f t="shared" ca="1" si="19"/>
        <v>4500</v>
      </c>
    </row>
    <row r="59" spans="2:11">
      <c r="B59" s="504">
        <v>4</v>
      </c>
      <c r="C59" s="505" t="s">
        <v>768</v>
      </c>
      <c r="D59" s="358" t="str">
        <f ca="1">IF(ISERROR(OFFSET('HARGA SATUAN'!$D$6,MATCH(RAB!C59,'HARGA SATUAN'!$C$7:$C$1492,0),0)),"",OFFSET('HARGA SATUAN'!$D$6,MATCH(RAB!C59,'HARGA SATUAN'!$C$7:$C$1492,0),0))</f>
        <v>JASA</v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497">
        <f>F55*1</f>
        <v>1</v>
      </c>
      <c r="G59" s="360">
        <f ca="1">IF(ISERROR(OFFSET('HARGA SATUAN'!$I$6,MATCH(RAB!C59,'HARGA SATUAN'!$C$7:$C$1492,0),0)),0,OFFSET('HARGA SATUAN'!$I$6,MATCH(RAB!C59,'HARGA SATUAN'!$C$7:$C$1492,0),0))</f>
        <v>55500</v>
      </c>
      <c r="H59" s="361">
        <f t="shared" ca="1" si="16"/>
        <v>0</v>
      </c>
      <c r="I59" s="361">
        <f t="shared" ca="1" si="17"/>
        <v>0</v>
      </c>
      <c r="J59" s="361">
        <f t="shared" ca="1" si="18"/>
        <v>55500</v>
      </c>
      <c r="K59" s="362">
        <f t="shared" ca="1" si="19"/>
        <v>55500</v>
      </c>
    </row>
    <row r="60" spans="2:11">
      <c r="B60" s="492"/>
      <c r="C60" s="495"/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368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16"/>
        <v>0</v>
      </c>
      <c r="I60" s="361">
        <f t="shared" ca="1" si="17"/>
        <v>0</v>
      </c>
      <c r="J60" s="361">
        <f t="shared" ca="1" si="18"/>
        <v>0</v>
      </c>
      <c r="K60" s="362">
        <f t="shared" ca="1" si="19"/>
        <v>0</v>
      </c>
    </row>
    <row r="61" spans="2:11">
      <c r="B61" s="504" t="s">
        <v>1035</v>
      </c>
      <c r="C61" s="505" t="s">
        <v>1622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497">
        <f>F47</f>
        <v>1</v>
      </c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16"/>
        <v>0</v>
      </c>
      <c r="I61" s="361">
        <f t="shared" ca="1" si="17"/>
        <v>0</v>
      </c>
      <c r="J61" s="361">
        <f t="shared" ca="1" si="18"/>
        <v>0</v>
      </c>
      <c r="K61" s="362">
        <f t="shared" ca="1" si="19"/>
        <v>0</v>
      </c>
    </row>
    <row r="62" spans="2:11">
      <c r="B62" s="504">
        <v>1</v>
      </c>
      <c r="C62" s="505" t="s">
        <v>30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497">
        <f>F61*1</f>
        <v>1</v>
      </c>
      <c r="G62" s="360">
        <f ca="1">IF(ISERROR(OFFSET('HARGA SATUAN'!$I$6,MATCH(RAB!C62,'HARGA SATUAN'!$C$7:$C$1492,0),0)),0,OFFSET('HARGA SATUAN'!$I$6,MATCH(RAB!C62,'HARGA SATUAN'!$C$7:$C$1492,0),0))</f>
        <v>47459</v>
      </c>
      <c r="H62" s="361">
        <f t="shared" ca="1" si="16"/>
        <v>0</v>
      </c>
      <c r="I62" s="361">
        <f t="shared" ca="1" si="17"/>
        <v>47459</v>
      </c>
      <c r="J62" s="361">
        <f t="shared" ca="1" si="18"/>
        <v>0</v>
      </c>
      <c r="K62" s="362">
        <f t="shared" ca="1" si="19"/>
        <v>47459</v>
      </c>
    </row>
    <row r="63" spans="2:11">
      <c r="B63" s="504">
        <v>2</v>
      </c>
      <c r="C63" s="505" t="s">
        <v>32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Mtr</v>
      </c>
      <c r="F63" s="497">
        <f>F61*1</f>
        <v>1</v>
      </c>
      <c r="G63" s="360">
        <f ca="1">IF(ISERROR(OFFSET('HARGA SATUAN'!$I$6,MATCH(RAB!C63,'HARGA SATUAN'!$C$7:$C$1492,0),0)),0,OFFSET('HARGA SATUAN'!$I$6,MATCH(RAB!C63,'HARGA SATUAN'!$C$7:$C$1492,0),0))</f>
        <v>30000</v>
      </c>
      <c r="H63" s="361">
        <f t="shared" ca="1" si="16"/>
        <v>0</v>
      </c>
      <c r="I63" s="361">
        <f t="shared" ca="1" si="17"/>
        <v>30000</v>
      </c>
      <c r="J63" s="361">
        <f t="shared" ca="1" si="18"/>
        <v>0</v>
      </c>
      <c r="K63" s="362">
        <f t="shared" ca="1" si="19"/>
        <v>30000</v>
      </c>
    </row>
    <row r="64" spans="2:11">
      <c r="B64" s="504">
        <v>3</v>
      </c>
      <c r="C64" s="505" t="s">
        <v>33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497">
        <f>F61*1</f>
        <v>1</v>
      </c>
      <c r="G64" s="360">
        <f ca="1">IF(ISERROR(OFFSET('HARGA SATUAN'!$I$6,MATCH(RAB!C64,'HARGA SATUAN'!$C$7:$C$1492,0),0)),0,OFFSET('HARGA SATUAN'!$I$6,MATCH(RAB!C64,'HARGA SATUAN'!$C$7:$C$1492,0),0))</f>
        <v>9500</v>
      </c>
      <c r="H64" s="361">
        <f t="shared" ca="1" si="16"/>
        <v>0</v>
      </c>
      <c r="I64" s="361">
        <f t="shared" ca="1" si="17"/>
        <v>9500</v>
      </c>
      <c r="J64" s="361">
        <f t="shared" ca="1" si="18"/>
        <v>0</v>
      </c>
      <c r="K64" s="362">
        <f t="shared" ca="1" si="19"/>
        <v>9500</v>
      </c>
    </row>
    <row r="65" spans="2:11">
      <c r="B65" s="504">
        <v>4</v>
      </c>
      <c r="C65" s="505" t="s">
        <v>738</v>
      </c>
      <c r="D65" s="358" t="str">
        <f ca="1">IF(ISERROR(OFFSET('HARGA SATUAN'!$D$6,MATCH(RAB!C65,'HARGA SATUAN'!$C$7:$C$1492,0),0)),"",OFFSET('HARGA SATUAN'!$D$6,MATCH(RAB!C65,'HARGA SATUAN'!$C$7:$C$1492,0),0))</f>
        <v>JASA</v>
      </c>
      <c r="E65" s="359" t="str">
        <f ca="1">IF(B65="+","Unit",IF(ISERROR(OFFSET('HARGA SATUAN'!$E$6,MATCH(RAB!C65,'HARGA SATUAN'!$C$7:$C$1492,0),0)),"",OFFSET('HARGA SATUAN'!$E$6,MATCH(RAB!C65,'HARGA SATUAN'!$C$7:$C$1492,0),0)))</f>
        <v>Unit</v>
      </c>
      <c r="F65" s="497">
        <f>F61*1</f>
        <v>1</v>
      </c>
      <c r="G65" s="360">
        <f ca="1">IF(ISERROR(OFFSET('HARGA SATUAN'!$I$6,MATCH(RAB!C65,'HARGA SATUAN'!$C$7:$C$1492,0),0)),0,OFFSET('HARGA SATUAN'!$I$6,MATCH(RAB!C65,'HARGA SATUAN'!$C$7:$C$1492,0),0))</f>
        <v>21200</v>
      </c>
      <c r="H65" s="361">
        <f t="shared" ca="1" si="16"/>
        <v>0</v>
      </c>
      <c r="I65" s="361">
        <f t="shared" ca="1" si="17"/>
        <v>0</v>
      </c>
      <c r="J65" s="361">
        <f t="shared" ca="1" si="18"/>
        <v>21200</v>
      </c>
      <c r="K65" s="362">
        <f t="shared" ca="1" si="19"/>
        <v>21200</v>
      </c>
    </row>
    <row r="66" spans="2:11">
      <c r="B66" s="492"/>
      <c r="C66" s="495"/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IF(B66="+","Unit",IF(ISERROR(OFFSET('HARGA SATUAN'!$E$6,MATCH(RAB!C66,'HARGA SATUAN'!$C$7:$C$1492,0),0)),"",OFFSET('HARGA SATUAN'!$E$6,MATCH(RAB!C66,'HARGA SATUAN'!$C$7:$C$1492,0),0)))</f>
        <v/>
      </c>
      <c r="F66" s="368"/>
      <c r="G66" s="360">
        <f ca="1">IF(ISERROR(OFFSET('HARGA SATUAN'!$I$6,MATCH(RAB!C66,'HARGA SATUAN'!$C$7:$C$1492,0),0)),0,OFFSET('HARGA SATUAN'!$I$6,MATCH(RAB!C66,'HARGA SATUAN'!$C$7:$C$1492,0),0))</f>
        <v>0</v>
      </c>
      <c r="H66" s="361">
        <f t="shared" ca="1" si="16"/>
        <v>0</v>
      </c>
      <c r="I66" s="361">
        <f t="shared" ca="1" si="17"/>
        <v>0</v>
      </c>
      <c r="J66" s="361">
        <f t="shared" ca="1" si="18"/>
        <v>0</v>
      </c>
      <c r="K66" s="362">
        <f t="shared" ca="1" si="19"/>
        <v>0</v>
      </c>
    </row>
    <row r="67" spans="2:11">
      <c r="B67" s="366" t="s">
        <v>1611</v>
      </c>
      <c r="C67" s="367" t="s">
        <v>1613</v>
      </c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368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ca="1" si="16"/>
        <v>0</v>
      </c>
      <c r="I67" s="361">
        <f t="shared" ca="1" si="17"/>
        <v>0</v>
      </c>
      <c r="J67" s="361">
        <f t="shared" ca="1" si="18"/>
        <v>0</v>
      </c>
      <c r="K67" s="362">
        <f t="shared" ca="1" si="19"/>
        <v>0</v>
      </c>
    </row>
    <row r="68" spans="2:11">
      <c r="B68" s="492"/>
      <c r="C68" s="495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368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16"/>
        <v>0</v>
      </c>
      <c r="I68" s="361">
        <f t="shared" ca="1" si="17"/>
        <v>0</v>
      </c>
      <c r="J68" s="361">
        <f t="shared" ca="1" si="18"/>
        <v>0</v>
      </c>
      <c r="K68" s="362">
        <f t="shared" ca="1" si="19"/>
        <v>0</v>
      </c>
    </row>
    <row r="69" spans="2:11">
      <c r="B69" s="493" t="s">
        <v>1612</v>
      </c>
      <c r="C69" s="496" t="s">
        <v>1615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368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ref="H69" ca="1" si="20">IF(OR(D69="MDU",D69="MDU-KD"),(IF($O$3="RAB NON MDU","PLN KD",G69*F69)),0)</f>
        <v>0</v>
      </c>
      <c r="I69" s="361">
        <f t="shared" ref="I69" ca="1" si="21">IF(D69="HDW",G69*F69,0)</f>
        <v>0</v>
      </c>
      <c r="J69" s="361">
        <f t="shared" ref="J69" ca="1" si="22">IF(D69="JASA",G69*F69,0)</f>
        <v>0</v>
      </c>
      <c r="K69" s="362">
        <f t="shared" ref="K69" ca="1" si="23">SUM(H69:J69)</f>
        <v>0</v>
      </c>
    </row>
    <row r="70" spans="2:11">
      <c r="B70" s="493" t="s">
        <v>1035</v>
      </c>
      <c r="C70" s="494" t="s">
        <v>1628</v>
      </c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>Unit</v>
      </c>
      <c r="F70" s="511">
        <v>13</v>
      </c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ref="H70:H75" ca="1" si="24">IF(OR(D70="MDU",D70="MDU-KD"),(IF($O$3="RAB NON MDU","PLN KD",G70*F70)),0)</f>
        <v>0</v>
      </c>
      <c r="I70" s="361">
        <f t="shared" ref="I70:I75" ca="1" si="25">IF(D70="HDW",G70*F70,0)</f>
        <v>0</v>
      </c>
      <c r="J70" s="361">
        <f t="shared" ref="J70:J75" ca="1" si="26">IF(D70="JASA",G70*F70,0)</f>
        <v>0</v>
      </c>
      <c r="K70" s="362">
        <f t="shared" ref="K70:K75" ca="1" si="27">SUM(H70:J70)</f>
        <v>0</v>
      </c>
    </row>
    <row r="71" spans="2:11">
      <c r="B71" s="509">
        <v>1</v>
      </c>
      <c r="C71" s="109" t="s">
        <v>482</v>
      </c>
      <c r="D71" s="358" t="s">
        <v>1624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11">
        <f>F70*1</f>
        <v>13</v>
      </c>
      <c r="G71" s="360">
        <f ca="1">IF(ISERROR(OFFSET('HARGA SATUAN'!$I$6,MATCH(RAB!C71,'HARGA SATUAN'!$C$7:$C$1492,0),0)),0,OFFSET('HARGA SATUAN'!$I$6,MATCH(RAB!C71,'HARGA SATUAN'!$C$7:$C$1492,0),0))</f>
        <v>327600</v>
      </c>
      <c r="H71" s="361">
        <f t="shared" si="24"/>
        <v>0</v>
      </c>
      <c r="I71" s="361">
        <f t="shared" si="25"/>
        <v>0</v>
      </c>
      <c r="J71" s="361">
        <f t="shared" si="26"/>
        <v>0</v>
      </c>
      <c r="K71" s="362">
        <f t="shared" si="27"/>
        <v>0</v>
      </c>
    </row>
    <row r="72" spans="2:11">
      <c r="B72" s="509">
        <v>2</v>
      </c>
      <c r="C72" s="517" t="s">
        <v>487</v>
      </c>
      <c r="D72" s="358" t="str">
        <f ca="1">IF(ISERROR(OFFSET('HARGA SATUAN'!$D$6,MATCH(RAB!C72,'HARGA SATUAN'!$C$7:$C$1492,0),0)),"",OFFSET('HARGA SATUAN'!$D$6,MATCH(RAB!C72,'HARGA SATUAN'!$C$7:$C$1492,0),0))</f>
        <v>MDU-KD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11">
        <f>F70*1</f>
        <v>13</v>
      </c>
      <c r="G72" s="360">
        <f ca="1">IF(ISERROR(OFFSET('HARGA SATUAN'!$I$6,MATCH(RAB!C72,'HARGA SATUAN'!$C$7:$C$1492,0),0)),0,OFFSET('HARGA SATUAN'!$I$6,MATCH(RAB!C72,'HARGA SATUAN'!$C$7:$C$1492,0),0))</f>
        <v>39000</v>
      </c>
      <c r="H72" s="361">
        <f t="shared" ca="1" si="24"/>
        <v>507000</v>
      </c>
      <c r="I72" s="361">
        <f t="shared" ca="1" si="25"/>
        <v>0</v>
      </c>
      <c r="J72" s="361">
        <f t="shared" ca="1" si="26"/>
        <v>0</v>
      </c>
      <c r="K72" s="362">
        <f t="shared" ca="1" si="27"/>
        <v>507000</v>
      </c>
    </row>
    <row r="73" spans="2:11">
      <c r="B73" s="509">
        <v>3</v>
      </c>
      <c r="C73" s="510" t="s">
        <v>74</v>
      </c>
      <c r="D73" s="358" t="s">
        <v>1624</v>
      </c>
      <c r="E73" s="359" t="str">
        <f ca="1">IF(B73="+","Unit",IF(ISERROR(OFFSET('HARGA SATUAN'!$E$6,MATCH(RAB!C73,'HARGA SATUAN'!$C$7:$C$1492,0),0)),"",OFFSET('HARGA SATUAN'!$E$6,MATCH(RAB!C73,'HARGA SATUAN'!$C$7:$C$1492,0),0)))</f>
        <v>Mtr</v>
      </c>
      <c r="F73" s="511">
        <v>20</v>
      </c>
      <c r="G73" s="360">
        <f ca="1">IF(ISERROR(OFFSET('HARGA SATUAN'!$I$6,MATCH(RAB!C73,'HARGA SATUAN'!$C$7:$C$1492,0),0)),0,OFFSET('HARGA SATUAN'!$I$6,MATCH(RAB!C73,'HARGA SATUAN'!$C$7:$C$1492,0),0))</f>
        <v>6600</v>
      </c>
      <c r="H73" s="361">
        <f t="shared" si="24"/>
        <v>0</v>
      </c>
      <c r="I73" s="361">
        <f t="shared" si="25"/>
        <v>0</v>
      </c>
      <c r="J73" s="361">
        <f t="shared" si="26"/>
        <v>0</v>
      </c>
      <c r="K73" s="362">
        <f t="shared" si="27"/>
        <v>0</v>
      </c>
    </row>
    <row r="74" spans="2:11">
      <c r="B74" s="509">
        <v>4</v>
      </c>
      <c r="C74" s="510" t="s">
        <v>798</v>
      </c>
      <c r="D74" s="358" t="str">
        <f ca="1">IF(ISERROR(OFFSET('HARGA SATUAN'!$D$6,MATCH(RAB!C74,'HARGA SATUAN'!$C$7:$C$1492,0),0)),"",OFFSET('HARGA SATUAN'!$D$6,MATCH(RAB!C74,'HARGA SATUAN'!$C$7:$C$1492,0),0))</f>
        <v>JASA</v>
      </c>
      <c r="E74" s="359" t="str">
        <f ca="1">IF(B74="+","Unit",IF(ISERROR(OFFSET('HARGA SATUAN'!$E$6,MATCH(RAB!C74,'HARGA SATUAN'!$C$7:$C$1492,0),0)),"",OFFSET('HARGA SATUAN'!$E$6,MATCH(RAB!C74,'HARGA SATUAN'!$C$7:$C$1492,0),0)))</f>
        <v>Unit</v>
      </c>
      <c r="F74" s="511">
        <f>F70*1</f>
        <v>13</v>
      </c>
      <c r="G74" s="360">
        <f ca="1">IF(ISERROR(OFFSET('HARGA SATUAN'!$I$6,MATCH(RAB!C74,'HARGA SATUAN'!$C$7:$C$1492,0),0)),0,OFFSET('HARGA SATUAN'!$I$6,MATCH(RAB!C74,'HARGA SATUAN'!$C$7:$C$1492,0),0))</f>
        <v>54400</v>
      </c>
      <c r="H74" s="361">
        <f t="shared" ca="1" si="24"/>
        <v>0</v>
      </c>
      <c r="I74" s="361">
        <f t="shared" ca="1" si="25"/>
        <v>0</v>
      </c>
      <c r="J74" s="361">
        <f t="shared" ca="1" si="26"/>
        <v>707200</v>
      </c>
      <c r="K74" s="362">
        <f t="shared" ca="1" si="27"/>
        <v>707200</v>
      </c>
    </row>
    <row r="75" spans="2:11">
      <c r="B75" s="509"/>
      <c r="C75" s="510"/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/>
      </c>
      <c r="F75" s="368"/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ca="1" si="24"/>
        <v>0</v>
      </c>
      <c r="I75" s="361">
        <f t="shared" ca="1" si="25"/>
        <v>0</v>
      </c>
      <c r="J75" s="361">
        <f t="shared" ca="1" si="26"/>
        <v>0</v>
      </c>
      <c r="K75" s="362">
        <f t="shared" ca="1" si="27"/>
        <v>0</v>
      </c>
    </row>
    <row r="76" spans="2:11">
      <c r="B76" s="518" t="s">
        <v>1035</v>
      </c>
      <c r="C76" s="517" t="s">
        <v>1629</v>
      </c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>Unit</v>
      </c>
      <c r="F76" s="519">
        <f>F70</f>
        <v>13</v>
      </c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ref="H76:H86" ca="1" si="28">IF(OR(D76="MDU",D76="MDU-KD"),(IF($O$3="RAB NON MDU","PLN KD",G76*F76)),0)</f>
        <v>0</v>
      </c>
      <c r="I76" s="361">
        <f t="shared" ref="I76:I86" ca="1" si="29">IF(D76="HDW",G76*F76,0)</f>
        <v>0</v>
      </c>
      <c r="J76" s="361">
        <f t="shared" ref="J76:J86" ca="1" si="30">IF(D76="JASA",G76*F76,0)</f>
        <v>0</v>
      </c>
      <c r="K76" s="362">
        <f t="shared" ref="K76:K86" ca="1" si="31">SUM(H76:J76)</f>
        <v>0</v>
      </c>
    </row>
    <row r="77" spans="2:11">
      <c r="B77" s="518">
        <v>1</v>
      </c>
      <c r="C77" s="517" t="s">
        <v>115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Set</v>
      </c>
      <c r="F77" s="519">
        <f>F76*1</f>
        <v>13</v>
      </c>
      <c r="G77" s="360">
        <f ca="1">IF(ISERROR(OFFSET('HARGA SATUAN'!$I$6,MATCH(RAB!C77,'HARGA SATUAN'!$C$7:$C$1492,0),0)),0,OFFSET('HARGA SATUAN'!$I$6,MATCH(RAB!C77,'HARGA SATUAN'!$C$7:$C$1492,0),0))</f>
        <v>11500</v>
      </c>
      <c r="H77" s="361">
        <f t="shared" ca="1" si="28"/>
        <v>0</v>
      </c>
      <c r="I77" s="361">
        <f t="shared" ca="1" si="29"/>
        <v>149500</v>
      </c>
      <c r="J77" s="361">
        <f t="shared" ca="1" si="30"/>
        <v>0</v>
      </c>
      <c r="K77" s="362">
        <f t="shared" ca="1" si="31"/>
        <v>149500</v>
      </c>
    </row>
    <row r="78" spans="2:11">
      <c r="B78" s="518">
        <v>2</v>
      </c>
      <c r="C78" s="517" t="s">
        <v>145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Set</v>
      </c>
      <c r="F78" s="519">
        <f>F76*1</f>
        <v>13</v>
      </c>
      <c r="G78" s="360">
        <f ca="1">IF(ISERROR(OFFSET('HARGA SATUAN'!$I$6,MATCH(RAB!C78,'HARGA SATUAN'!$C$7:$C$1492,0),0)),0,OFFSET('HARGA SATUAN'!$I$6,MATCH(RAB!C78,'HARGA SATUAN'!$C$7:$C$1492,0),0))</f>
        <v>6200</v>
      </c>
      <c r="H78" s="361">
        <f t="shared" ca="1" si="28"/>
        <v>0</v>
      </c>
      <c r="I78" s="361">
        <f t="shared" ca="1" si="29"/>
        <v>80600</v>
      </c>
      <c r="J78" s="361">
        <f t="shared" ca="1" si="30"/>
        <v>0</v>
      </c>
      <c r="K78" s="362">
        <f t="shared" ca="1" si="31"/>
        <v>80600</v>
      </c>
    </row>
    <row r="79" spans="2:11">
      <c r="B79" s="518">
        <v>3</v>
      </c>
      <c r="C79" s="517" t="s">
        <v>587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Btg</v>
      </c>
      <c r="F79" s="519">
        <f>F76*1</f>
        <v>13</v>
      </c>
      <c r="G79" s="360">
        <f ca="1">IF(ISERROR(OFFSET('HARGA SATUAN'!$I$6,MATCH(RAB!C79,'HARGA SATUAN'!$C$7:$C$1492,0),0)),0,OFFSET('HARGA SATUAN'!$I$6,MATCH(RAB!C79,'HARGA SATUAN'!$C$7:$C$1492,0),0))</f>
        <v>45796</v>
      </c>
      <c r="H79" s="361">
        <f t="shared" ca="1" si="28"/>
        <v>0</v>
      </c>
      <c r="I79" s="361">
        <f t="shared" ca="1" si="29"/>
        <v>595348</v>
      </c>
      <c r="J79" s="361">
        <f t="shared" ca="1" si="30"/>
        <v>0</v>
      </c>
      <c r="K79" s="362">
        <f t="shared" ca="1" si="31"/>
        <v>595348</v>
      </c>
    </row>
    <row r="80" spans="2:11">
      <c r="B80" s="518">
        <v>4</v>
      </c>
      <c r="C80" s="517" t="s">
        <v>118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Set</v>
      </c>
      <c r="F80" s="519">
        <f>F76*1</f>
        <v>13</v>
      </c>
      <c r="G80" s="360">
        <f ca="1">IF(ISERROR(OFFSET('HARGA SATUAN'!$I$6,MATCH(RAB!C80,'HARGA SATUAN'!$C$7:$C$1492,0),0)),0,OFFSET('HARGA SATUAN'!$I$6,MATCH(RAB!C80,'HARGA SATUAN'!$C$7:$C$1492,0),0))</f>
        <v>5300</v>
      </c>
      <c r="H80" s="361">
        <f t="shared" ca="1" si="28"/>
        <v>0</v>
      </c>
      <c r="I80" s="361">
        <f t="shared" ca="1" si="29"/>
        <v>68900</v>
      </c>
      <c r="J80" s="361">
        <f t="shared" ca="1" si="30"/>
        <v>0</v>
      </c>
      <c r="K80" s="362">
        <f t="shared" ca="1" si="31"/>
        <v>68900</v>
      </c>
    </row>
    <row r="81" spans="2:13">
      <c r="B81" s="518">
        <v>5</v>
      </c>
      <c r="C81" s="517" t="s">
        <v>117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519">
        <f>F76*1</f>
        <v>13</v>
      </c>
      <c r="G81" s="360">
        <f ca="1">IF(ISERROR(OFFSET('HARGA SATUAN'!$I$6,MATCH(RAB!C81,'HARGA SATUAN'!$C$7:$C$1492,0),0)),0,OFFSET('HARGA SATUAN'!$I$6,MATCH(RAB!C81,'HARGA SATUAN'!$C$7:$C$1492,0),0))</f>
        <v>58600</v>
      </c>
      <c r="H81" s="361">
        <f t="shared" ca="1" si="28"/>
        <v>0</v>
      </c>
      <c r="I81" s="361">
        <f t="shared" ca="1" si="29"/>
        <v>761800</v>
      </c>
      <c r="J81" s="361">
        <f t="shared" ca="1" si="30"/>
        <v>0</v>
      </c>
      <c r="K81" s="362">
        <f t="shared" ca="1" si="31"/>
        <v>761800</v>
      </c>
    </row>
    <row r="82" spans="2:13">
      <c r="B82" s="518">
        <v>6</v>
      </c>
      <c r="C82" s="109" t="s">
        <v>1154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Set</v>
      </c>
      <c r="F82" s="519">
        <f>F76*1</f>
        <v>13</v>
      </c>
      <c r="G82" s="360">
        <f ca="1">IF(ISERROR(OFFSET('HARGA SATUAN'!$I$6,MATCH(RAB!C82,'HARGA SATUAN'!$C$7:$C$1492,0),0)),0,OFFSET('HARGA SATUAN'!$I$6,MATCH(RAB!C82,'HARGA SATUAN'!$C$7:$C$1492,0),0))</f>
        <v>3888</v>
      </c>
      <c r="H82" s="361">
        <f t="shared" ca="1" si="28"/>
        <v>0</v>
      </c>
      <c r="I82" s="361">
        <f t="shared" ca="1" si="29"/>
        <v>50544</v>
      </c>
      <c r="J82" s="361">
        <f t="shared" ca="1" si="30"/>
        <v>0</v>
      </c>
      <c r="K82" s="362">
        <f t="shared" ca="1" si="31"/>
        <v>50544</v>
      </c>
    </row>
    <row r="83" spans="2:13">
      <c r="B83" s="518">
        <v>7</v>
      </c>
      <c r="C83" s="517" t="s">
        <v>119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Set</v>
      </c>
      <c r="F83" s="519">
        <f>F76*2</f>
        <v>26</v>
      </c>
      <c r="G83" s="360">
        <f ca="1">IF(ISERROR(OFFSET('HARGA SATUAN'!$I$6,MATCH(RAB!C83,'HARGA SATUAN'!$C$7:$C$1492,0),0)),0,OFFSET('HARGA SATUAN'!$I$6,MATCH(RAB!C83,'HARGA SATUAN'!$C$7:$C$1492,0),0))</f>
        <v>8900</v>
      </c>
      <c r="H83" s="361">
        <f t="shared" ca="1" si="28"/>
        <v>0</v>
      </c>
      <c r="I83" s="361">
        <f t="shared" ca="1" si="29"/>
        <v>231400</v>
      </c>
      <c r="J83" s="361">
        <f t="shared" ca="1" si="30"/>
        <v>0</v>
      </c>
      <c r="K83" s="362">
        <f t="shared" ca="1" si="31"/>
        <v>231400</v>
      </c>
    </row>
    <row r="84" spans="2:13">
      <c r="B84" s="509"/>
      <c r="C84" s="510"/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/>
      </c>
      <c r="F84" s="368"/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ca="1" si="28"/>
        <v>0</v>
      </c>
      <c r="I84" s="361">
        <f t="shared" ca="1" si="29"/>
        <v>0</v>
      </c>
      <c r="J84" s="361">
        <f t="shared" ca="1" si="30"/>
        <v>0</v>
      </c>
      <c r="K84" s="362">
        <f t="shared" ca="1" si="31"/>
        <v>0</v>
      </c>
    </row>
    <row r="85" spans="2:13">
      <c r="B85" s="366" t="s">
        <v>22</v>
      </c>
      <c r="C85" s="367" t="s">
        <v>1614</v>
      </c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IF(B85="+","Unit",IF(ISERROR(OFFSET('HARGA SATUAN'!$E$6,MATCH(RAB!C85,'HARGA SATUAN'!$C$7:$C$1492,0),0)),"",OFFSET('HARGA SATUAN'!$E$6,MATCH(RAB!C85,'HARGA SATUAN'!$C$7:$C$1492,0),0)))</f>
        <v/>
      </c>
      <c r="F85" s="368"/>
      <c r="G85" s="360">
        <f ca="1">IF(ISERROR(OFFSET('HARGA SATUAN'!$I$6,MATCH(RAB!C85,'HARGA SATUAN'!$C$7:$C$1492,0),0)),0,OFFSET('HARGA SATUAN'!$I$6,MATCH(RAB!C85,'HARGA SATUAN'!$C$7:$C$1492,0),0))</f>
        <v>0</v>
      </c>
      <c r="H85" s="361">
        <f t="shared" ca="1" si="28"/>
        <v>0</v>
      </c>
      <c r="I85" s="361">
        <f t="shared" ca="1" si="29"/>
        <v>0</v>
      </c>
      <c r="J85" s="361">
        <f t="shared" ca="1" si="30"/>
        <v>0</v>
      </c>
      <c r="K85" s="362">
        <f t="shared" ca="1" si="31"/>
        <v>0</v>
      </c>
    </row>
    <row r="86" spans="2:13">
      <c r="B86" s="373"/>
      <c r="C86" s="372"/>
      <c r="D86" s="358" t="str">
        <f ca="1">IF(ISERROR(OFFSET('HARGA SATUAN'!$D$6,MATCH(RAB!C86,'HARGA SATUAN'!$C$7:$C$1492,0),0)),"",OFFSET('HARGA SATUAN'!$D$6,MATCH(RAB!C86,'HARGA SATUAN'!$C$7:$C$1492,0),0))</f>
        <v/>
      </c>
      <c r="E86" s="359" t="str">
        <f ca="1">IF(B86="+","Unit",IF(ISERROR(OFFSET('HARGA SATUAN'!$E$6,MATCH(RAB!C86,'HARGA SATUAN'!$C$7:$C$1492,0),0)),"",OFFSET('HARGA SATUAN'!$E$6,MATCH(RAB!C86,'HARGA SATUAN'!$C$7:$C$1492,0),0)))</f>
        <v/>
      </c>
      <c r="F86" s="368"/>
      <c r="G86" s="360">
        <f ca="1">IF(ISERROR(OFFSET('HARGA SATUAN'!$I$6,MATCH(RAB!C86,'HARGA SATUAN'!$C$7:$C$1492,0),0)),0,OFFSET('HARGA SATUAN'!$I$6,MATCH(RAB!C86,'HARGA SATUAN'!$C$7:$C$1492,0),0))</f>
        <v>0</v>
      </c>
      <c r="H86" s="361">
        <f t="shared" ca="1" si="28"/>
        <v>0</v>
      </c>
      <c r="I86" s="361">
        <f t="shared" ca="1" si="29"/>
        <v>0</v>
      </c>
      <c r="J86" s="361">
        <f t="shared" ca="1" si="30"/>
        <v>0</v>
      </c>
      <c r="K86" s="362">
        <f t="shared" ca="1" si="31"/>
        <v>0</v>
      </c>
    </row>
    <row r="87" spans="2:13">
      <c r="B87" s="374"/>
      <c r="C87" s="375" t="s">
        <v>475</v>
      </c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/>
      </c>
      <c r="F87" s="368"/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ref="H87" ca="1" si="32">IF(OR(D87="MDU",D87="MDU-KD"),(IF($O$3="RAB NON MDU","PLN KD",G87*F87)),0)</f>
        <v>0</v>
      </c>
      <c r="I87" s="361">
        <f t="shared" ref="I87" ca="1" si="33">IF(D87="HDW",G87*F87,0)</f>
        <v>0</v>
      </c>
      <c r="J87" s="361">
        <f t="shared" ref="J87" ca="1" si="34">IF(D87="JASA",G87*F87,0)</f>
        <v>0</v>
      </c>
      <c r="K87" s="362">
        <f t="shared" ref="K87" ca="1" si="35">SUM(H87:J87)</f>
        <v>0</v>
      </c>
    </row>
    <row r="88" spans="2:13">
      <c r="B88" s="377">
        <v>1</v>
      </c>
      <c r="C88" s="378" t="s">
        <v>1091</v>
      </c>
      <c r="D88" s="379" t="str">
        <f ca="1">IF(ISERROR(OFFSET('HARGA SATUAN'!$D$6,MATCH(RAB!C88,'HARGA SATUAN'!$C$7:$C$1492,0),0)),"",OFFSET('HARGA SATUAN'!$D$6,MATCH(RAB!C88,'HARGA SATUAN'!$C$7:$C$1492,0),0))</f>
        <v>JASA</v>
      </c>
      <c r="E88" s="380" t="str">
        <f ca="1">IF(ISERROR(OFFSET('HARGA SATUAN'!$E$6,MATCH(RAB!C88,'HARGA SATUAN'!$C$7:$C$1492,0),0)),"",OFFSET('HARGA SATUAN'!$E$6,MATCH(RAB!C88,'HARGA SATUAN'!$C$7:$C$1492,0),0))</f>
        <v>Lot</v>
      </c>
      <c r="F88" s="381">
        <v>1</v>
      </c>
      <c r="G88" s="382">
        <f ca="1">IF(ISERROR(OFFSET('HARGA SATUAN'!$I$6,MATCH(RAB!C88,'HARGA SATUAN'!$C$7:$C$1492,0),0)),0,OFFSET('HARGA SATUAN'!$I$6,MATCH(RAB!C88,'HARGA SATUAN'!$C$7:$C$1492,0),0))</f>
        <v>2.5000000000000001E-2</v>
      </c>
      <c r="H88" s="383"/>
      <c r="I88" s="383"/>
      <c r="J88" s="383">
        <f ca="1">SUM(K15:K19)*G88</f>
        <v>290503.33333333337</v>
      </c>
      <c r="K88" s="384">
        <f ca="1">SUM(H88:J88)</f>
        <v>290503.33333333337</v>
      </c>
    </row>
    <row r="89" spans="2:13">
      <c r="B89" s="385"/>
      <c r="C89" s="386"/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IF(ISERROR(OFFSET('HARGA SATUAN'!$E$6,MATCH(RAB!C89,'HARGA SATUAN'!$C$7:$C$1492,0),0)),"",OFFSET('HARGA SATUAN'!$E$6,MATCH(RAB!C89,'HARGA SATUAN'!$C$7:$C$1492,0),0))</f>
        <v/>
      </c>
      <c r="F89" s="376"/>
      <c r="G89" s="360" t="str">
        <f ca="1">IF(ISERROR(OFFSET('HARGA SATUAN'!$I$6,MATCH(RAB!C89,'HARGA SATUAN'!$C$7:$C$1492,0),0)),"",OFFSET('HARGA SATUAN'!$I$6,MATCH(RAB!C89,'HARGA SATUAN'!$C$7:$C$1492,0),0))</f>
        <v/>
      </c>
      <c r="H89" s="361">
        <f ca="1">IF(OR(D89="MDU",D89="MDU-KD"),IF(G89="PLN",0,G89*F89),0)</f>
        <v>0</v>
      </c>
      <c r="I89" s="361">
        <f ca="1">IF(D89="HDW",IF(G89="PLN",0,G89*F89),0)</f>
        <v>0</v>
      </c>
      <c r="J89" s="361">
        <f ca="1">IF(D89="JASA",IF(G89="PLN",0,G89*F89),0)</f>
        <v>0</v>
      </c>
      <c r="K89" s="362">
        <f ca="1">SUM(H89:J89)</f>
        <v>0</v>
      </c>
    </row>
    <row r="90" spans="2:13" ht="15.75" thickBot="1">
      <c r="B90" s="387"/>
      <c r="C90" s="388"/>
      <c r="D90" s="389"/>
      <c r="E90" s="390"/>
      <c r="F90" s="390"/>
      <c r="G90" s="390"/>
      <c r="H90" s="391"/>
      <c r="I90" s="391"/>
      <c r="J90" s="391"/>
      <c r="K90" s="392"/>
    </row>
    <row r="91" spans="2:13">
      <c r="B91" s="393"/>
      <c r="C91" s="638" t="s">
        <v>1008</v>
      </c>
      <c r="D91" s="638"/>
      <c r="E91" s="638"/>
      <c r="F91" s="638"/>
      <c r="G91" s="394" t="s">
        <v>9</v>
      </c>
      <c r="H91" s="395">
        <f ca="1">SUM(H14:H89)</f>
        <v>4771000</v>
      </c>
      <c r="I91" s="395">
        <f ca="1">SUM(I14:I89)</f>
        <v>14828951.24</v>
      </c>
      <c r="J91" s="395">
        <f ca="1">SUM(J14:J89)</f>
        <v>1414636.666666667</v>
      </c>
      <c r="K91" s="395">
        <f ca="1">SUM(K14:K89)</f>
        <v>21014587.906666666</v>
      </c>
    </row>
    <row r="92" spans="2:13">
      <c r="B92" s="396"/>
      <c r="C92" s="621" t="s">
        <v>1457</v>
      </c>
      <c r="D92" s="621"/>
      <c r="E92" s="621"/>
      <c r="F92" s="621"/>
      <c r="G92" s="397" t="s">
        <v>9</v>
      </c>
      <c r="H92" s="398">
        <f ca="1">H91*0.11</f>
        <v>524810</v>
      </c>
      <c r="I92" s="398">
        <f ca="1">I91*0.11</f>
        <v>1631184.6364</v>
      </c>
      <c r="J92" s="398">
        <f ca="1">J91*0.11</f>
        <v>155610.03333333335</v>
      </c>
      <c r="K92" s="398">
        <f ca="1">K91*0.11</f>
        <v>2311604.6697333334</v>
      </c>
    </row>
    <row r="93" spans="2:13" ht="15.75" thickBot="1">
      <c r="B93" s="396"/>
      <c r="C93" s="619" t="s">
        <v>463</v>
      </c>
      <c r="D93" s="619"/>
      <c r="E93" s="619"/>
      <c r="F93" s="619"/>
      <c r="G93" s="399" t="s">
        <v>9</v>
      </c>
      <c r="H93" s="400">
        <f ca="1">SUM(H91:H92)</f>
        <v>5295810</v>
      </c>
      <c r="I93" s="400">
        <f ca="1">SUM(I91:I92)</f>
        <v>16460135.876399999</v>
      </c>
      <c r="J93" s="399">
        <f ca="1">SUM(J91:J92)</f>
        <v>1570246.7000000004</v>
      </c>
      <c r="K93" s="399">
        <f ca="1">SUM(K91:K92)</f>
        <v>23326192.576400001</v>
      </c>
      <c r="M93" s="482"/>
    </row>
    <row r="94" spans="2:13">
      <c r="B94" s="622" t="str">
        <f ca="1">"Terbilang : "&amp;PROPER(IF(K93=0,"nol",IF(K93&lt;0,"minus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IF(--MID(TEXT(ABS(K93),"000000000000000"),1,3)=0,"",MID(TEXT(ABS(K93),"000000000000000"),1,1)&amp;" ratus "&amp;MID(TEXT(ABS(K93),"000000000000000"),2,1)&amp;" puluh "&amp;MID(TEXT(ABS(K93),"000000000000000"),3,1)&amp;" trilyun ")&amp; IF(--MID(TEXT(ABS(K93),"000000000000000"),4,3)=0,"",MID(TEXT(ABS(K93),"000000000000000"),4,1)&amp;" ratus "&amp;MID(TEXT(ABS(K93),"000000000000000"),5,1)&amp;" puluh "&amp;MID(TEXT(ABS(K93),"000000000000000"),6,1)&amp;" milyar ")&amp; IF(--MID(TEXT(ABS(K93),"000000000000000"),7,3)=0,"",MID(TEXT(ABS(K93),"000000000000000"),7,1)&amp;" ratus "&amp;MID(TEXT(ABS(K93),"000000000000000"),8,1)&amp;" puluh "&amp;MID(TEXT(ABS(K93),"000000000000000"),9,1)&amp;" juta ")&amp; IF(--MID(TEXT(ABS(K93),"000000000000000"),10,3)=0,"",IF(--MID(TEXT(ABS(K93),"000000000000000"),10,3)=1,"*",MID(TEXT(ABS(K93),"000000000000000"),10,1)&amp;" ratus "&amp;MID(TEXT(ABS(K93),"000000000000000"),11,1)&amp;" puluh ")&amp;MID(TEXT(ABS(K93),"000000000000000"),12,1)&amp;" ribu ")&amp; IF(--MID(TEXT(ABS(K93),"000000000000000"),13,3)=0,"",MID(TEXT(ABS(K93),"000000000000000"),13,1)&amp;" ratus "&amp;MID(TEXT(ABS(K93),"000000000000000"),14,1)&amp;" puluh "&amp;MID(TEXT(ABS(K93),"000000000000000"),15,1)),1,"satu"),2,"dua"),3,"tiga"),4,"empat"),5,"lima"),6,"enam"),7,"tujuh"),8,"delapan"),9,"sembilan"),"0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Tiga Juta Tiga Ratus Dua Puluh Enam Ribu Seratus Sembilan Puluh Tiga Rupiah</v>
      </c>
      <c r="C94" s="623"/>
      <c r="D94" s="623"/>
      <c r="E94" s="623"/>
      <c r="F94" s="623"/>
      <c r="G94" s="623"/>
      <c r="H94" s="623"/>
      <c r="I94" s="623"/>
      <c r="J94" s="623"/>
      <c r="K94" s="624"/>
    </row>
    <row r="95" spans="2:13">
      <c r="B95" s="625"/>
      <c r="C95" s="626"/>
      <c r="D95" s="626"/>
      <c r="E95" s="626"/>
      <c r="F95" s="626"/>
      <c r="G95" s="626"/>
      <c r="H95" s="626"/>
      <c r="I95" s="626"/>
      <c r="J95" s="626"/>
      <c r="K95" s="627"/>
    </row>
    <row r="96" spans="2:13" ht="15.75" thickBot="1">
      <c r="B96" s="401" t="str">
        <f>"Harga yang dipakai adalah "&amp;'HARGA SATUAN'!I5&amp;""</f>
        <v>Harga yang dipakai adalah RAB HSS 2023</v>
      </c>
      <c r="C96" s="402"/>
      <c r="D96" s="403"/>
      <c r="E96" s="403"/>
      <c r="F96" s="403"/>
      <c r="G96" s="404"/>
      <c r="H96" s="404"/>
      <c r="I96" s="404"/>
      <c r="J96" s="404"/>
      <c r="K96" s="405"/>
    </row>
    <row r="97" spans="3:11">
      <c r="C97" s="406"/>
      <c r="E97" s="408"/>
      <c r="F97" s="408"/>
      <c r="G97" s="408"/>
    </row>
    <row r="98" spans="3:11">
      <c r="C98" s="337"/>
      <c r="E98" s="408"/>
      <c r="F98" s="408"/>
      <c r="G98" s="408"/>
      <c r="H98" s="628"/>
      <c r="I98" s="628"/>
      <c r="J98" s="629"/>
      <c r="K98" s="629"/>
    </row>
    <row r="99" spans="3:11">
      <c r="C99" s="337"/>
      <c r="E99" s="408"/>
      <c r="F99" s="408"/>
      <c r="G99" s="408"/>
      <c r="H99" s="409"/>
      <c r="I99" s="618" t="s">
        <v>1631</v>
      </c>
      <c r="J99" s="618"/>
      <c r="K99" s="618"/>
    </row>
    <row r="100" spans="3:11">
      <c r="C100" s="337"/>
      <c r="E100" s="408"/>
      <c r="F100" s="408"/>
      <c r="G100" s="408"/>
      <c r="H100" s="409"/>
      <c r="I100" s="618" t="s">
        <v>1632</v>
      </c>
      <c r="J100" s="618"/>
      <c r="K100" s="618"/>
    </row>
    <row r="101" spans="3:11">
      <c r="C101" s="337"/>
      <c r="E101" s="408"/>
      <c r="F101" s="408"/>
      <c r="G101" s="408"/>
      <c r="H101" s="410"/>
      <c r="I101" s="411"/>
      <c r="J101" s="411"/>
      <c r="K101" s="411"/>
    </row>
    <row r="102" spans="3:11">
      <c r="C102" s="337"/>
      <c r="E102" s="408"/>
      <c r="F102" s="408"/>
      <c r="G102" s="408"/>
      <c r="H102" s="410"/>
      <c r="I102" s="410"/>
      <c r="J102" s="410"/>
      <c r="K102" s="410"/>
    </row>
    <row r="103" spans="3:11">
      <c r="C103" s="337"/>
      <c r="E103" s="408"/>
      <c r="F103" s="408"/>
      <c r="G103" s="408"/>
      <c r="H103" s="410"/>
      <c r="I103" s="410"/>
      <c r="J103" s="410"/>
      <c r="K103" s="410"/>
    </row>
    <row r="104" spans="3:11">
      <c r="C104" s="337"/>
      <c r="E104" s="408"/>
      <c r="F104" s="408"/>
      <c r="G104" s="408"/>
      <c r="H104" s="410"/>
      <c r="I104" s="410"/>
      <c r="J104" s="410"/>
      <c r="K104" s="410"/>
    </row>
    <row r="105" spans="3:11">
      <c r="C105" s="337"/>
      <c r="E105" s="408"/>
      <c r="F105" s="408"/>
      <c r="G105" s="408"/>
      <c r="H105" s="412"/>
      <c r="I105" s="618" t="s">
        <v>1633</v>
      </c>
      <c r="J105" s="618"/>
      <c r="K105" s="618"/>
    </row>
    <row r="106" spans="3:11">
      <c r="C106" s="406"/>
      <c r="E106" s="408"/>
      <c r="F106" s="408"/>
      <c r="G106" s="408"/>
      <c r="H106" s="410"/>
      <c r="I106" s="410"/>
      <c r="J106" s="410"/>
      <c r="K106" s="410"/>
    </row>
    <row r="107" spans="3:11">
      <c r="C107" s="406"/>
      <c r="E107" s="408"/>
      <c r="F107" s="408"/>
      <c r="G107" s="408"/>
      <c r="H107" s="410"/>
      <c r="I107" s="410"/>
      <c r="J107" s="410"/>
      <c r="K107" s="410"/>
    </row>
    <row r="108" spans="3:11">
      <c r="C108" s="406"/>
      <c r="E108" s="408"/>
      <c r="F108" s="408"/>
      <c r="G108" s="408"/>
      <c r="H108" s="410"/>
      <c r="I108" s="410"/>
      <c r="J108" s="410"/>
      <c r="K108" s="410"/>
    </row>
  </sheetData>
  <sheetProtection sort="0" autoFilter="0"/>
  <protectedRanges>
    <protectedRange sqref="B86 B70:B84" name="Range1_1"/>
    <protectedRange sqref="F45:F60 F14:F43 F66:F87" name="Range1_1_2_2"/>
    <protectedRange sqref="C86 C70:C73" name="Range1_1_1"/>
    <protectedRange sqref="C74:C84" name="Range1_1_3_2"/>
    <protectedRange sqref="C16" name="Range1_1_3_5"/>
    <protectedRange sqref="C17" name="Range1_1_3_6"/>
    <protectedRange sqref="C18" name="Range1_1_3"/>
    <protectedRange sqref="G44" name="Range1_3_7"/>
    <protectedRange sqref="C43" name="Range1_1_3_4"/>
    <protectedRange sqref="C44" name="Range1_1_3_7"/>
  </protectedRanges>
  <mergeCells count="22">
    <mergeCell ref="O3:P4"/>
    <mergeCell ref="B4:K4"/>
    <mergeCell ref="C91:F91"/>
    <mergeCell ref="B11:B13"/>
    <mergeCell ref="C11:C13"/>
    <mergeCell ref="D11:D13"/>
    <mergeCell ref="E11:E13"/>
    <mergeCell ref="F11:F13"/>
    <mergeCell ref="G11:G13"/>
    <mergeCell ref="I12:I13"/>
    <mergeCell ref="I100:K100"/>
    <mergeCell ref="I105:K105"/>
    <mergeCell ref="C93:F93"/>
    <mergeCell ref="G6:K6"/>
    <mergeCell ref="I99:K99"/>
    <mergeCell ref="C92:F92"/>
    <mergeCell ref="B94:K95"/>
    <mergeCell ref="H98:K98"/>
    <mergeCell ref="H11:K11"/>
    <mergeCell ref="H12:H13"/>
    <mergeCell ref="J12:J13"/>
    <mergeCell ref="K12:K13"/>
  </mergeCells>
  <phoneticPr fontId="139" type="noConversion"/>
  <conditionalFormatting sqref="C15:C19">
    <cfRule type="cellIs" dxfId="10" priority="19" operator="equal">
      <formula>0</formula>
    </cfRule>
  </conditionalFormatting>
  <conditionalFormatting sqref="C43:C44">
    <cfRule type="cellIs" dxfId="9" priority="4" operator="equal">
      <formula>0</formula>
    </cfRule>
  </conditionalFormatting>
  <conditionalFormatting sqref="C67">
    <cfRule type="cellIs" dxfId="8" priority="107" operator="equal">
      <formula>0</formula>
    </cfRule>
  </conditionalFormatting>
  <conditionalFormatting sqref="C71">
    <cfRule type="cellIs" dxfId="7" priority="12" operator="equal">
      <formula>0</formula>
    </cfRule>
  </conditionalFormatting>
  <conditionalFormatting sqref="C85">
    <cfRule type="cellIs" dxfId="6" priority="13" operator="equal">
      <formula>0</formula>
    </cfRule>
  </conditionalFormatting>
  <conditionalFormatting sqref="D44:G44">
    <cfRule type="cellIs" dxfId="5" priority="6" operator="equal">
      <formula>0</formula>
    </cfRule>
  </conditionalFormatting>
  <conditionalFormatting sqref="E1:E3 G1:G13 E5:E13 H12:I12 O13 S14:V19 H44:K44 E88:G88 H88:K90 E89:H89 E90:F90 E45:K75 E76:E83 G76:K83 E84:K87">
    <cfRule type="cellIs" dxfId="4" priority="1062" stopIfTrue="1" operator="equal">
      <formula>0</formula>
    </cfRule>
  </conditionalFormatting>
  <conditionalFormatting sqref="E14:K43">
    <cfRule type="cellIs" dxfId="3" priority="3" stopIfTrue="1" operator="equal">
      <formula>0</formula>
    </cfRule>
  </conditionalFormatting>
  <conditionalFormatting sqref="G89:G65555 E94:E65555">
    <cfRule type="cellIs" dxfId="2" priority="196" stopIfTrue="1" operator="equal">
      <formula>0</formula>
    </cfRule>
  </conditionalFormatting>
  <conditionalFormatting sqref="C82">
    <cfRule type="cellIs" dxfId="1" priority="2" operator="equal">
      <formula>0</formula>
    </cfRule>
  </conditionalFormatting>
  <conditionalFormatting sqref="F76:F83">
    <cfRule type="cellIs" dxfId="0" priority="1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21:F33 F47:F53 F55:F57 F59 F61:F65 F35:F40 H14:K90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4" xr:uid="{A7415706-BB3C-442B-8D39-2A2127D35574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8" zoomScale="130" zoomScaleNormal="115" zoomScaleSheetLayoutView="130" workbookViewId="0">
      <selection activeCell="AB53" sqref="AB53:AD53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1" t="s">
        <v>1439</v>
      </c>
      <c r="X2" s="702"/>
      <c r="Y2" s="702"/>
      <c r="Z2" s="702"/>
      <c r="AA2" s="702"/>
      <c r="AB2" s="702"/>
      <c r="AC2" s="702"/>
      <c r="AD2" s="703"/>
    </row>
    <row r="3" spans="3:30">
      <c r="C3" s="238"/>
      <c r="W3" s="704"/>
      <c r="X3" s="705"/>
      <c r="Y3" s="705"/>
      <c r="Z3" s="705"/>
      <c r="AA3" s="705"/>
      <c r="AB3" s="705"/>
      <c r="AC3" s="705"/>
      <c r="AD3" s="706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>
      <c r="C6" s="238"/>
      <c r="W6" s="241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238"/>
      <c r="E7" s="488" t="s">
        <v>1626</v>
      </c>
      <c r="W7" s="241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>
      <c r="C8" s="238"/>
      <c r="W8" s="241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238"/>
      <c r="W9" s="241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238"/>
      <c r="W10" s="241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238"/>
      <c r="W11" s="241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238"/>
      <c r="W12" s="241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238"/>
      <c r="W13" s="241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238"/>
      <c r="W14" s="241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238"/>
      <c r="W15" s="241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238"/>
      <c r="W16" s="241">
        <v>11</v>
      </c>
      <c r="X16" s="650" t="s">
        <v>1455</v>
      </c>
      <c r="Y16" s="650"/>
      <c r="Z16" s="650"/>
      <c r="AA16" s="650"/>
      <c r="AB16" s="650"/>
      <c r="AC16" s="650"/>
      <c r="AD16" s="651"/>
    </row>
    <row r="17" spans="3:30">
      <c r="C17" s="238"/>
      <c r="S17" s="242"/>
      <c r="W17" s="241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0">
      <c r="C18" s="243"/>
      <c r="D18" s="244"/>
      <c r="E18" s="244"/>
      <c r="W18" s="241">
        <v>13</v>
      </c>
      <c r="X18" s="650"/>
      <c r="Y18" s="650"/>
      <c r="Z18" s="650"/>
      <c r="AA18" s="650"/>
      <c r="AB18" s="650"/>
      <c r="AC18" s="650"/>
      <c r="AD18" s="651"/>
    </row>
    <row r="19" spans="3:30">
      <c r="C19" s="238"/>
      <c r="W19" s="245"/>
      <c r="X19" s="699"/>
      <c r="Y19" s="699"/>
      <c r="Z19" s="699"/>
      <c r="AA19" s="699"/>
      <c r="AB19" s="699"/>
      <c r="AC19" s="699"/>
      <c r="AD19" s="700"/>
    </row>
    <row r="20" spans="3:30">
      <c r="C20" s="238"/>
      <c r="W20" s="686" t="s">
        <v>992</v>
      </c>
      <c r="X20" s="687"/>
      <c r="Y20" s="687"/>
      <c r="Z20" s="687"/>
      <c r="AA20" s="687"/>
      <c r="AB20" s="687"/>
      <c r="AC20" s="687"/>
      <c r="AD20" s="688"/>
    </row>
    <row r="21" spans="3:30">
      <c r="C21" s="238"/>
      <c r="W21" s="689" t="s">
        <v>985</v>
      </c>
      <c r="X21" s="690"/>
      <c r="Y21" s="690"/>
      <c r="Z21" s="691"/>
      <c r="AA21" s="692" t="s">
        <v>986</v>
      </c>
      <c r="AB21" s="693"/>
      <c r="AC21" s="693"/>
      <c r="AD21" s="694"/>
    </row>
    <row r="22" spans="3:30">
      <c r="C22" s="238"/>
      <c r="W22" s="695"/>
      <c r="X22" s="696"/>
      <c r="Y22" s="490"/>
      <c r="Z22" s="491"/>
      <c r="AA22" s="697"/>
      <c r="AB22" s="698"/>
      <c r="AC22" s="248"/>
      <c r="AD22" s="249"/>
    </row>
    <row r="23" spans="3:30">
      <c r="C23" s="238"/>
      <c r="W23" s="695"/>
      <c r="X23" s="696"/>
      <c r="Y23" s="490"/>
      <c r="Z23" s="491"/>
      <c r="AA23" s="684"/>
      <c r="AB23" s="685"/>
      <c r="AC23" s="248"/>
      <c r="AD23" s="249"/>
    </row>
    <row r="24" spans="3:30">
      <c r="C24" s="238"/>
      <c r="W24" s="679"/>
      <c r="X24" s="681"/>
      <c r="Y24" s="246"/>
      <c r="Z24" s="247"/>
      <c r="AA24" s="682"/>
      <c r="AB24" s="683"/>
      <c r="AC24" s="248"/>
      <c r="AD24" s="249"/>
    </row>
    <row r="25" spans="3:30">
      <c r="C25" s="238"/>
      <c r="W25" s="679"/>
      <c r="X25" s="681"/>
      <c r="Y25" s="246"/>
      <c r="Z25" s="247"/>
      <c r="AA25" s="684"/>
      <c r="AB25" s="685"/>
      <c r="AC25" s="248"/>
      <c r="AD25" s="249"/>
    </row>
    <row r="26" spans="3:30">
      <c r="C26" s="238"/>
      <c r="W26" s="478"/>
      <c r="X26" s="479"/>
      <c r="Y26" s="246"/>
      <c r="Z26" s="247"/>
      <c r="AA26" s="684"/>
      <c r="AB26" s="685"/>
      <c r="AC26" s="248"/>
      <c r="AD26" s="249"/>
    </row>
    <row r="27" spans="3:30">
      <c r="C27" s="238"/>
      <c r="W27" s="478"/>
      <c r="X27" s="479"/>
      <c r="Y27" s="246"/>
      <c r="Z27" s="247"/>
      <c r="AA27" s="678"/>
      <c r="AB27" s="673"/>
      <c r="AC27" s="248"/>
      <c r="AD27" s="249"/>
    </row>
    <row r="28" spans="3:30">
      <c r="C28" s="238"/>
      <c r="W28" s="478"/>
      <c r="X28" s="479"/>
      <c r="Y28" s="246"/>
      <c r="Z28" s="247"/>
      <c r="AA28" s="678"/>
      <c r="AB28" s="673"/>
      <c r="AC28" s="248"/>
      <c r="AD28" s="249"/>
    </row>
    <row r="29" spans="3:30">
      <c r="C29" s="238"/>
      <c r="W29" s="478"/>
      <c r="X29" s="479"/>
      <c r="Y29" s="246"/>
      <c r="Z29" s="247"/>
      <c r="AA29" s="678"/>
      <c r="AB29" s="673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78"/>
      <c r="AB30" s="673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78"/>
      <c r="AB31" s="673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78"/>
      <c r="AB32" s="673"/>
      <c r="AC32" s="248"/>
      <c r="AD32" s="249"/>
    </row>
    <row r="33" spans="3:30">
      <c r="C33" s="238"/>
      <c r="W33" s="478"/>
      <c r="X33" s="479"/>
      <c r="Y33" s="246"/>
      <c r="Z33" s="247"/>
      <c r="AA33" s="678"/>
      <c r="AB33" s="673"/>
      <c r="AC33" s="248"/>
      <c r="AD33" s="249"/>
    </row>
    <row r="34" spans="3:30">
      <c r="C34" s="238"/>
      <c r="W34" s="478"/>
      <c r="X34" s="479"/>
      <c r="Y34" s="246"/>
      <c r="Z34" s="247"/>
      <c r="AA34" s="678"/>
      <c r="AB34" s="673"/>
      <c r="AC34" s="248"/>
      <c r="AD34" s="249"/>
    </row>
    <row r="35" spans="3:30">
      <c r="C35" s="238"/>
      <c r="W35" s="679"/>
      <c r="X35" s="680"/>
      <c r="Y35" s="246"/>
      <c r="Z35" s="247"/>
      <c r="AA35" s="678"/>
      <c r="AB35" s="673"/>
      <c r="AC35" s="248"/>
      <c r="AD35" s="249"/>
    </row>
    <row r="36" spans="3:30">
      <c r="C36" s="238"/>
      <c r="W36" s="670"/>
      <c r="X36" s="671"/>
      <c r="Y36" s="246"/>
      <c r="Z36" s="251"/>
      <c r="AA36" s="672"/>
      <c r="AB36" s="673"/>
      <c r="AC36" s="248"/>
      <c r="AD36" s="249"/>
    </row>
    <row r="37" spans="3:30" ht="12.75" customHeight="1">
      <c r="C37" s="238"/>
      <c r="W37" s="674"/>
      <c r="X37" s="675"/>
      <c r="Y37" s="246"/>
      <c r="Z37" s="251"/>
      <c r="AA37" s="676"/>
      <c r="AB37" s="677"/>
      <c r="AC37" s="252"/>
      <c r="AD37" s="253"/>
    </row>
    <row r="38" spans="3:30" ht="12.75" customHeight="1">
      <c r="C38" s="238"/>
      <c r="W38" s="674"/>
      <c r="X38" s="675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4"/>
      <c r="X39" s="675"/>
      <c r="Y39" s="254"/>
      <c r="Z39" s="257"/>
      <c r="AA39" s="666"/>
      <c r="AB39" s="667"/>
      <c r="AC39" s="252"/>
      <c r="AD39" s="253"/>
    </row>
    <row r="40" spans="3:30" ht="12" customHeight="1">
      <c r="C40" s="238"/>
      <c r="W40" s="662"/>
      <c r="X40" s="663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4"/>
      <c r="X41" s="665"/>
      <c r="Y41" s="260"/>
      <c r="Z41" s="261"/>
      <c r="AA41" s="666"/>
      <c r="AB41" s="667"/>
      <c r="AC41" s="252"/>
      <c r="AD41" s="253"/>
    </row>
    <row r="42" spans="3:30" ht="12" customHeight="1">
      <c r="C42" s="238"/>
      <c r="W42" s="668" t="s">
        <v>1456</v>
      </c>
      <c r="X42" s="669"/>
      <c r="Y42" s="669"/>
      <c r="Z42" s="669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7" t="s">
        <v>11</v>
      </c>
      <c r="X44" s="648"/>
      <c r="Y44" s="650"/>
      <c r="Z44" s="650"/>
      <c r="AA44" s="650"/>
      <c r="AB44" s="650"/>
      <c r="AC44" s="650"/>
      <c r="AD44" s="651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7" t="s">
        <v>984</v>
      </c>
      <c r="X45" s="648"/>
      <c r="Y45" s="650">
        <v>1</v>
      </c>
      <c r="Z45" s="650"/>
      <c r="AA45" s="650"/>
      <c r="AB45" s="650" t="s">
        <v>12</v>
      </c>
      <c r="AC45" s="650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7" t="s">
        <v>15</v>
      </c>
      <c r="X46" s="648"/>
      <c r="Y46" s="661"/>
      <c r="Z46" s="661"/>
      <c r="AA46" s="661"/>
      <c r="AB46" s="650" t="s">
        <v>16</v>
      </c>
      <c r="AC46" s="650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5" t="s">
        <v>17</v>
      </c>
      <c r="X47" s="655"/>
      <c r="Y47" s="655"/>
      <c r="Z47" s="655"/>
      <c r="AA47" s="655"/>
      <c r="AB47" s="655"/>
      <c r="AC47" s="655"/>
      <c r="AD47" s="656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7" t="str">
        <f>RAB!G6</f>
        <v>KOS ERNA TRI PUJIASTUTI</v>
      </c>
      <c r="X48" s="657"/>
      <c r="Y48" s="657"/>
      <c r="Z48" s="657"/>
      <c r="AA48" s="657"/>
      <c r="AB48" s="657"/>
      <c r="AC48" s="657"/>
      <c r="AD48" s="658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7"/>
      <c r="X49" s="657"/>
      <c r="Y49" s="657"/>
      <c r="Z49" s="657"/>
      <c r="AA49" s="657"/>
      <c r="AB49" s="657"/>
      <c r="AC49" s="657"/>
      <c r="AD49" s="658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7"/>
      <c r="X50" s="657"/>
      <c r="Y50" s="657"/>
      <c r="Z50" s="657"/>
      <c r="AA50" s="657"/>
      <c r="AB50" s="657"/>
      <c r="AC50" s="657"/>
      <c r="AD50" s="658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9"/>
      <c r="X51" s="659"/>
      <c r="Y51" s="659"/>
      <c r="Z51" s="659"/>
      <c r="AA51" s="659"/>
      <c r="AB51" s="659"/>
      <c r="AC51" s="659"/>
      <c r="AD51" s="660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7" t="s">
        <v>18</v>
      </c>
      <c r="X52" s="648"/>
      <c r="Y52" s="650" t="s">
        <v>1547</v>
      </c>
      <c r="Z52" s="650"/>
      <c r="AA52" s="650"/>
      <c r="AB52" s="650"/>
      <c r="AC52" s="650"/>
      <c r="AD52" s="65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7" t="s">
        <v>19</v>
      </c>
      <c r="X53" s="648"/>
      <c r="Y53" s="650" t="s">
        <v>1547</v>
      </c>
      <c r="Z53" s="650"/>
      <c r="AA53" s="650"/>
      <c r="AB53" s="650"/>
      <c r="AC53" s="650"/>
      <c r="AD53" s="651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7" t="s">
        <v>20</v>
      </c>
      <c r="X54" s="648"/>
      <c r="Y54" s="649" t="s">
        <v>1548</v>
      </c>
      <c r="Z54" s="649"/>
      <c r="AA54" s="649"/>
      <c r="AB54" s="650"/>
      <c r="AC54" s="650"/>
      <c r="AD54" s="651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2" t="s">
        <v>21</v>
      </c>
      <c r="X55" s="653"/>
      <c r="Y55" s="649" t="s">
        <v>1549</v>
      </c>
      <c r="Z55" s="649"/>
      <c r="AA55" s="649"/>
      <c r="AB55" s="649"/>
      <c r="AC55" s="649"/>
      <c r="AD55" s="654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U39" sqref="U3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7" t="s">
        <v>1528</v>
      </c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708"/>
      <c r="X4" s="708"/>
      <c r="Y4" s="708"/>
      <c r="Z4" s="708"/>
      <c r="AA4" s="708"/>
      <c r="AB4" s="708"/>
      <c r="AC4" s="709"/>
      <c r="AD4" s="217"/>
      <c r="AE4" s="216"/>
      <c r="AF4" s="216"/>
    </row>
    <row r="5" spans="2:32" ht="13.5" customHeight="1">
      <c r="B5" s="215"/>
      <c r="C5" s="215"/>
      <c r="D5" s="710"/>
      <c r="E5" s="711"/>
      <c r="F5" s="711"/>
      <c r="G5" s="711"/>
      <c r="H5" s="711"/>
      <c r="I5" s="711"/>
      <c r="J5" s="711"/>
      <c r="K5" s="711"/>
      <c r="L5" s="711"/>
      <c r="M5" s="711"/>
      <c r="N5" s="711"/>
      <c r="O5" s="711"/>
      <c r="P5" s="711"/>
      <c r="Q5" s="711"/>
      <c r="R5" s="711"/>
      <c r="S5" s="711"/>
      <c r="T5" s="711"/>
      <c r="U5" s="711"/>
      <c r="V5" s="711"/>
      <c r="W5" s="711"/>
      <c r="X5" s="711"/>
      <c r="Y5" s="711"/>
      <c r="Z5" s="711"/>
      <c r="AA5" s="711"/>
      <c r="AB5" s="711"/>
      <c r="AC5" s="712"/>
      <c r="AD5" s="217"/>
      <c r="AE5" s="216"/>
      <c r="AF5" s="216"/>
    </row>
    <row r="6" spans="2:32" ht="12.75" customHeight="1">
      <c r="B6" s="215"/>
      <c r="C6" s="215"/>
      <c r="D6" s="710"/>
      <c r="E6" s="711"/>
      <c r="F6" s="711"/>
      <c r="G6" s="711"/>
      <c r="H6" s="711"/>
      <c r="I6" s="711"/>
      <c r="J6" s="711"/>
      <c r="K6" s="711"/>
      <c r="L6" s="711"/>
      <c r="M6" s="711"/>
      <c r="N6" s="711"/>
      <c r="O6" s="711"/>
      <c r="P6" s="711"/>
      <c r="Q6" s="711"/>
      <c r="R6" s="711"/>
      <c r="S6" s="711"/>
      <c r="T6" s="711"/>
      <c r="U6" s="711"/>
      <c r="V6" s="711"/>
      <c r="W6" s="711"/>
      <c r="X6" s="711"/>
      <c r="Y6" s="711"/>
      <c r="Z6" s="711"/>
      <c r="AA6" s="711"/>
      <c r="AB6" s="711"/>
      <c r="AC6" s="712"/>
      <c r="AE6" s="216"/>
      <c r="AF6" s="216"/>
    </row>
    <row r="7" spans="2:32" ht="12.75" customHeight="1" thickBot="1">
      <c r="B7" s="215"/>
      <c r="C7" s="215"/>
      <c r="D7" s="713"/>
      <c r="E7" s="714"/>
      <c r="F7" s="714"/>
      <c r="G7" s="714"/>
      <c r="H7" s="714"/>
      <c r="I7" s="714"/>
      <c r="J7" s="714"/>
      <c r="K7" s="714"/>
      <c r="L7" s="714"/>
      <c r="M7" s="714"/>
      <c r="N7" s="714"/>
      <c r="O7" s="714"/>
      <c r="P7" s="714"/>
      <c r="Q7" s="714"/>
      <c r="R7" s="714"/>
      <c r="S7" s="714"/>
      <c r="T7" s="714"/>
      <c r="U7" s="714"/>
      <c r="V7" s="714"/>
      <c r="W7" s="714"/>
      <c r="X7" s="714"/>
      <c r="Y7" s="714"/>
      <c r="Z7" s="714"/>
      <c r="AA7" s="714"/>
      <c r="AB7" s="714"/>
      <c r="AC7" s="715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55" zoomScaleNormal="40" zoomScaleSheetLayoutView="55" workbookViewId="0">
      <selection activeCell="AC26" sqref="AC26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1" t="s">
        <v>1527</v>
      </c>
      <c r="D3" s="711"/>
      <c r="E3" s="711"/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16" t="str">
        <f>GAMBAR!E7</f>
        <v>KOORDINAT : -6.900337, 110.629091</v>
      </c>
      <c r="D6" s="716"/>
      <c r="E6" s="716"/>
      <c r="F6" s="716"/>
      <c r="G6" s="716"/>
      <c r="H6" s="716"/>
      <c r="I6" s="716"/>
      <c r="J6" s="716"/>
      <c r="K6" s="716"/>
      <c r="L6" s="716"/>
      <c r="M6" s="716"/>
      <c r="W6" s="182"/>
      <c r="Y6" s="426"/>
      <c r="Z6" s="426"/>
      <c r="AA6" s="426"/>
      <c r="AB6" s="427"/>
      <c r="AC6" s="427"/>
    </row>
    <row r="7" spans="1:29" ht="18" customHeight="1">
      <c r="A7" s="181"/>
      <c r="C7" s="716"/>
      <c r="D7" s="716"/>
      <c r="E7" s="716"/>
      <c r="F7" s="716"/>
      <c r="G7" s="716"/>
      <c r="H7" s="716"/>
      <c r="I7" s="716"/>
      <c r="J7" s="716"/>
      <c r="K7" s="716"/>
      <c r="L7" s="716"/>
      <c r="M7" s="716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2024-01-11T03:02:56Z</dcterms:modified>
</cp:coreProperties>
</file>