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ayon Demak\2024\PBPD\RAB\"/>
    </mc:Choice>
  </mc:AlternateContent>
  <bookViews>
    <workbookView xWindow="0" yWindow="0" windowWidth="20490" windowHeight="762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64" i="11"/>
  <c r="D20" i="59"/>
  <c r="E7" i="64" l="1"/>
  <c r="F17" i="11"/>
  <c r="F67" i="11"/>
  <c r="F66" i="11"/>
  <c r="F65" i="11"/>
  <c r="D64" i="11"/>
  <c r="D65" i="11"/>
  <c r="D66" i="11"/>
  <c r="D67" i="11"/>
  <c r="D68" i="11"/>
  <c r="D35" i="11"/>
  <c r="J35" i="11" s="1"/>
  <c r="E35" i="11"/>
  <c r="G35" i="11"/>
  <c r="H35" i="11" l="1"/>
  <c r="I35" i="11"/>
  <c r="K35" i="11" l="1"/>
  <c r="G17" i="11" l="1"/>
  <c r="G18" i="11"/>
  <c r="G19" i="11"/>
  <c r="G20" i="11"/>
  <c r="D17" i="11"/>
  <c r="E17" i="11"/>
  <c r="D18" i="11"/>
  <c r="I18" i="11" s="1"/>
  <c r="E18" i="11"/>
  <c r="J17" i="11" l="1"/>
  <c r="H18" i="11"/>
  <c r="I17" i="11"/>
  <c r="H17" i="11"/>
  <c r="J18" i="11"/>
  <c r="F54" i="11"/>
  <c r="F55" i="11" s="1"/>
  <c r="F48" i="11"/>
  <c r="F52" i="11" s="1"/>
  <c r="F46" i="11"/>
  <c r="F45" i="11"/>
  <c r="F44" i="11"/>
  <c r="F43" i="11"/>
  <c r="F42" i="11"/>
  <c r="F41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D15" i="11"/>
  <c r="J15" i="11" s="1"/>
  <c r="E15" i="11"/>
  <c r="G15" i="11"/>
  <c r="D16" i="11"/>
  <c r="J16" i="11" s="1"/>
  <c r="E16" i="11"/>
  <c r="G16" i="11"/>
  <c r="D19" i="11"/>
  <c r="E19" i="11"/>
  <c r="F37" i="11"/>
  <c r="F33" i="11"/>
  <c r="F32" i="11"/>
  <c r="F31" i="11"/>
  <c r="F30" i="11"/>
  <c r="F29" i="11"/>
  <c r="F26" i="11"/>
  <c r="F25" i="11"/>
  <c r="F24" i="11"/>
  <c r="F23" i="11"/>
  <c r="F22" i="11"/>
  <c r="D20" i="11"/>
  <c r="E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36" i="11"/>
  <c r="J36" i="11" s="1"/>
  <c r="E36" i="11"/>
  <c r="G36" i="11"/>
  <c r="D37" i="11"/>
  <c r="I37" i="11" s="1"/>
  <c r="E37" i="11"/>
  <c r="G37" i="11"/>
  <c r="D38" i="11"/>
  <c r="J38" i="11" s="1"/>
  <c r="E38" i="11"/>
  <c r="G38" i="11"/>
  <c r="G62" i="11"/>
  <c r="G63" i="11"/>
  <c r="D62" i="11"/>
  <c r="I62" i="11" s="1"/>
  <c r="E62" i="11"/>
  <c r="K18" i="11" l="1"/>
  <c r="K17" i="11"/>
  <c r="J20" i="11"/>
  <c r="H20" i="11"/>
  <c r="I20" i="11"/>
  <c r="H19" i="11"/>
  <c r="I19" i="11"/>
  <c r="J19" i="11"/>
  <c r="F56" i="11"/>
  <c r="F49" i="11"/>
  <c r="I49" i="11" s="1"/>
  <c r="F57" i="11"/>
  <c r="I57" i="11" s="1"/>
  <c r="F58" i="11"/>
  <c r="J58" i="11" s="1"/>
  <c r="F50" i="11"/>
  <c r="I50" i="11" s="1"/>
  <c r="F51" i="11"/>
  <c r="I51" i="11" s="1"/>
  <c r="I55" i="11"/>
  <c r="J39" i="11"/>
  <c r="I47" i="11"/>
  <c r="I43" i="11"/>
  <c r="H42" i="11"/>
  <c r="J41" i="11"/>
  <c r="I39" i="11"/>
  <c r="J52" i="11"/>
  <c r="I60" i="11"/>
  <c r="I58" i="11"/>
  <c r="H55" i="11"/>
  <c r="I54" i="11"/>
  <c r="I53" i="11"/>
  <c r="H51" i="11"/>
  <c r="H47" i="11"/>
  <c r="I46" i="11"/>
  <c r="I45" i="11"/>
  <c r="I42" i="11"/>
  <c r="I41" i="11"/>
  <c r="J57" i="11"/>
  <c r="J54" i="11"/>
  <c r="H53" i="11"/>
  <c r="I52" i="11"/>
  <c r="H50" i="11"/>
  <c r="J49" i="11"/>
  <c r="J46" i="11"/>
  <c r="H45" i="11"/>
  <c r="I44" i="11"/>
  <c r="H60" i="11"/>
  <c r="I59" i="11"/>
  <c r="H43" i="11"/>
  <c r="I56" i="11"/>
  <c r="I48" i="11"/>
  <c r="I40" i="11"/>
  <c r="H61" i="11"/>
  <c r="J59" i="11"/>
  <c r="H56" i="11"/>
  <c r="H52" i="11"/>
  <c r="H48" i="11"/>
  <c r="H44" i="11"/>
  <c r="H40" i="11"/>
  <c r="I61" i="11"/>
  <c r="I15" i="11"/>
  <c r="H15" i="11"/>
  <c r="I16" i="11"/>
  <c r="H16" i="11"/>
  <c r="I24" i="11"/>
  <c r="J26" i="11"/>
  <c r="J34" i="11"/>
  <c r="I28" i="11"/>
  <c r="J27" i="11"/>
  <c r="J30" i="11"/>
  <c r="J23" i="11"/>
  <c r="J22" i="11"/>
  <c r="I32" i="11"/>
  <c r="H24" i="11"/>
  <c r="H28" i="11"/>
  <c r="I36" i="11"/>
  <c r="H36" i="11"/>
  <c r="J31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38" i="11"/>
  <c r="H37" i="11"/>
  <c r="H33" i="11"/>
  <c r="H29" i="11"/>
  <c r="H25" i="11"/>
  <c r="H21" i="11"/>
  <c r="J37" i="11"/>
  <c r="H38" i="11"/>
  <c r="H62" i="11"/>
  <c r="J62" i="11"/>
  <c r="D16" i="60"/>
  <c r="K19" i="11" l="1"/>
  <c r="K20" i="11"/>
  <c r="K51" i="11"/>
  <c r="K50" i="11"/>
  <c r="K42" i="11"/>
  <c r="K53" i="11"/>
  <c r="K52" i="11"/>
  <c r="K41" i="11"/>
  <c r="K46" i="11"/>
  <c r="K55" i="11"/>
  <c r="K56" i="11"/>
  <c r="K45" i="11"/>
  <c r="K39" i="11"/>
  <c r="K44" i="11"/>
  <c r="K59" i="11"/>
  <c r="K43" i="11"/>
  <c r="K49" i="11"/>
  <c r="K54" i="11"/>
  <c r="K47" i="11"/>
  <c r="K58" i="11"/>
  <c r="K57" i="11"/>
  <c r="K60" i="11"/>
  <c r="K40" i="11"/>
  <c r="K48" i="11"/>
  <c r="K61" i="11"/>
  <c r="K15" i="11"/>
  <c r="K16" i="11"/>
  <c r="K26" i="11"/>
  <c r="K31" i="11"/>
  <c r="K24" i="11"/>
  <c r="K34" i="11"/>
  <c r="K30" i="11"/>
  <c r="K25" i="11"/>
  <c r="K28" i="11"/>
  <c r="K22" i="11"/>
  <c r="K27" i="11"/>
  <c r="K36" i="11"/>
  <c r="K33" i="11"/>
  <c r="K23" i="11"/>
  <c r="K21" i="11"/>
  <c r="K32" i="11"/>
  <c r="K38" i="11"/>
  <c r="K29" i="11"/>
  <c r="K37" i="11"/>
  <c r="K62" i="11"/>
  <c r="H68" i="11" l="1"/>
  <c r="E68" i="11"/>
  <c r="G68" i="11"/>
  <c r="D70" i="11"/>
  <c r="J70" i="11" s="1"/>
  <c r="E70" i="11"/>
  <c r="G70" i="11"/>
  <c r="G6" i="11"/>
  <c r="D63" i="11"/>
  <c r="E63" i="11"/>
  <c r="E64" i="11"/>
  <c r="G64" i="11"/>
  <c r="J65" i="11"/>
  <c r="E65" i="11"/>
  <c r="G65" i="11"/>
  <c r="J66" i="11"/>
  <c r="E66" i="11"/>
  <c r="G66" i="11"/>
  <c r="E67" i="11"/>
  <c r="G67" i="11"/>
  <c r="D71" i="11"/>
  <c r="J71" i="11" s="1"/>
  <c r="E71" i="11"/>
  <c r="G71" i="11"/>
  <c r="D72" i="11"/>
  <c r="J72" i="11" s="1"/>
  <c r="E72" i="11"/>
  <c r="G72" i="11"/>
  <c r="H63" i="11" l="1"/>
  <c r="I63" i="11"/>
  <c r="J63" i="11"/>
  <c r="I70" i="11"/>
  <c r="H70" i="11"/>
  <c r="I68" i="11"/>
  <c r="J68" i="11"/>
  <c r="H64" i="11"/>
  <c r="H67" i="11"/>
  <c r="I71" i="11"/>
  <c r="J67" i="11"/>
  <c r="H71" i="11"/>
  <c r="I65" i="11"/>
  <c r="H65" i="11"/>
  <c r="J64" i="11"/>
  <c r="I67" i="11"/>
  <c r="H72" i="11"/>
  <c r="H66" i="11"/>
  <c r="I72" i="11"/>
  <c r="I66" i="11"/>
  <c r="I64" i="11"/>
  <c r="D14" i="11"/>
  <c r="J14" i="11" s="1"/>
  <c r="E14" i="11"/>
  <c r="G14" i="11"/>
  <c r="K19" i="60"/>
  <c r="D19" i="60"/>
  <c r="K63" i="11" l="1"/>
  <c r="K70" i="11"/>
  <c r="K68" i="11"/>
  <c r="K71" i="11"/>
  <c r="K65" i="11"/>
  <c r="K67" i="11"/>
  <c r="K64" i="11"/>
  <c r="K72" i="11"/>
  <c r="K66" i="11"/>
  <c r="H14" i="11"/>
  <c r="I14" i="11"/>
  <c r="K14" i="11" l="1"/>
  <c r="K73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3" i="11"/>
  <c r="D74" i="11"/>
  <c r="H74" i="11" s="1"/>
  <c r="E7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L172" i="29"/>
  <c r="L42" i="39"/>
  <c r="B41" i="39" l="1"/>
  <c r="B171" i="29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3" i="11"/>
  <c r="J7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4" i="11"/>
  <c r="I7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7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76" i="11"/>
  <c r="H77" i="11" s="1"/>
  <c r="I76" i="11"/>
  <c r="I7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8" i="11"/>
  <c r="I7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76" i="11" l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6" i="11"/>
  <c r="J7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K77" i="11" l="1"/>
  <c r="K78" i="11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B79" i="11"/>
  <c r="D10" i="59"/>
  <c r="D11" i="59" s="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<sst xmlns="http://schemas.openxmlformats.org/spreadsheetml/2006/main" count="4742" uniqueCount="1634">
  <si>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</si>
  <si>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</si>
  <si>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</si>
  <si>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</si>
  <si>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</si>
  <si>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</si>
  <si>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</si>
  <si>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</si>
  <si>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</si>
  <si>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</si>
  <si>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</si>
  <si>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</si>
  <si>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</si>
  <si>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</si>
  <si>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</si>
  <si>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</si>
  <si>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</si>
  <si>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</si>
  <si>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</si>
  <si>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</si>
  <si>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</si>
  <si>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</si>
  <si>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</si>
  <si>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</si>
  <si>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</si>
  <si>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</si>
  <si>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</si>
  <si>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</si>
  <si>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</si>
  <si>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</si>
  <si>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</si>
  <si>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</si>
  <si>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</si>
  <si>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</si>
  <si>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</si>
  <si>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</si>
  <si>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</si>
  <si>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</si>
  <si>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</si>
  <si>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</si>
  <si>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</si>
  <si>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</si>
  <si>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</si>
  <si>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</si>
  <si>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</si>
  <si>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</si>
  <si>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</si>
  <si>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</si>
  <si>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</si>
  <si>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</si>
  <si>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</si>
  <si>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</si>
  <si>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</si>
  <si>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</si>
  <si>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</si>
  <si>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</si>
  <si>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</si>
  <si>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</si>
  <si>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</si>
  <si>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</si>
  <si>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</si>
  <si>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</si>
  <si>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</si>
  <si>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</si>
  <si>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</si>
  <si>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</si>
  <si>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</si>
  <si>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</si>
  <si>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</si>
  <si>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</si>
  <si>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</si>
  <si>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</si>
  <si>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</si>
  <si>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</si>
  <si>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</si>
  <si>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</si>
  <si>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</si>
  <si>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</si>
  <si>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</si>
  <si>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</si>
  <si>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</si>
  <si>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</si>
  <si>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</si>
  <si>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</si>
  <si>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</si>
  <si>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</si>
  <si>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</si>
  <si>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</si>
  <si>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</si>
  <si>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</si>
  <si>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</si>
  <si>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</si>
  <si>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</si>
  <si>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</si>
  <si>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</si>
  <si>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</si>
  <si>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</si>
  <si>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</si>
  <si>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</si>
  <si>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</si>
  <si>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</si>
  <si>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</si>
  <si>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</si>
  <si>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</si>
  <si>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</si>
  <si>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</si>
  <si>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</si>
  <si>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</si>
  <si>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</si>
  <si>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</si>
  <si>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</si>
  <si>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</si>
  <si>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</si>
  <si>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</si>
  <si>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</si>
  <si>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</si>
  <si>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</si>
  <si>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</si>
  <si>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</si>
  <si>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</si>
  <si>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</si>
  <si>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</si>
  <si>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</si>
  <si>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</si>
  <si>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</si>
  <si>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</si>
  <si>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</si>
  <si>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</si>
  <si>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</si>
  <si>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</si>
  <si>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</si>
  <si>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</si>
  <si>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</si>
  <si>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</si>
  <si>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</si>
  <si>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</si>
  <si>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</si>
  <si>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</si>
  <si>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</si>
  <si>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</si>
  <si>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</si>
  <si>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</si>
  <si>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</si>
  <si>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</si>
  <si>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</si>
  <si>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</si>
  <si>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</si>
  <si>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</si>
  <si>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</si>
  <si>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</si>
  <si>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</si>
  <si>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</si>
  <si>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</si>
  <si>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</si>
  <si>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</si>
  <si>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</si>
  <si>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</si>
  <si>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</si>
  <si>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</si>
  <si>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</si>
  <si>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</si>
  <si>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</si>
  <si>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</si>
  <si>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</si>
  <si>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</si>
  <si>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</si>
  <si>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</si>
  <si>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</si>
  <si>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</si>
  <si>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</si>
  <si>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</si>
  <si>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</si>
  <si>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</si>
  <si>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</si>
  <si>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</si>
  <si>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</si>
  <si>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</si>
  <si>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</si>
  <si>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</si>
  <si>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</si>
  <si>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</si>
  <si>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</si>
  <si>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</si>
  <si>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</si>
  <si>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</si>
  <si>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</si>
  <si>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</si>
  <si>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</si>
  <si>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</si>
  <si>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</si>
  <si>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</si>
  <si>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</si>
  <si>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</si>
  <si>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</si>
  <si>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</si>
  <si>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</si>
  <si>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</si>
  <si>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</si>
  <si>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</si>
  <si>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</si>
  <si>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</si>
  <si>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</si>
  <si>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</si>
  <si>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</si>
  <si>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</si>
  <si>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</si>
  <si>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</si>
  <si>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</si>
  <si>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</si>
  <si>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</si>
  <si>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</si>
  <si>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</si>
  <si>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</si>
  <si>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</si>
  <si>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</si>
  <si>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</si>
  <si>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</si>
  <si>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</si>
  <si>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</si>
  <si>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</si>
  <si>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</si>
  <si>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</si>
  <si>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</si>
  <si>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</si>
  <si>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</si>
  <si>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</si>
  <si>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</si>
  <si>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</si>
  <si>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</si>
  <si>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</si>
  <si>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</si>
  <si>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</si>
  <si>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</si>
  <si>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</si>
  <si>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</si>
  <si>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</si>
  <si>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</si>
  <si>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</si>
  <si>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</si>
  <si>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</si>
  <si>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</si>
  <si>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</si>
  <si>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</si>
  <si>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</si>
  <si>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</si>
  <si>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</si>
  <si>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</si>
  <si>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</si>
  <si>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</si>
  <si>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</si>
  <si>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</si>
  <si>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</si>
  <si>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</si>
  <si>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</si>
  <si>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</si>
  <si>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</si>
  <si>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</si>
  <si>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</si>
  <si>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</si>
  <si>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</si>
  <si>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</si>
  <si>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</si>
  <si>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</si>
  <si>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</si>
  <si>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</si>
  <si>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</si>
  <si>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</si>
  <si>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</si>
  <si>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</si>
  <si>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</si>
  <si>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</si>
  <si>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</si>
  <si>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</si>
  <si>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</si>
  <si>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</si>
  <si>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</si>
  <si>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</si>
  <si>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</si>
  <si>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</si>
  <si>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</si>
  <si>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</si>
  <si>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</si>
  <si>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</si>
  <si>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</si>
  <si>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</si>
  <si>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</si>
  <si>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</si>
  <si>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</si>
  <si>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</si>
  <si>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</si>
  <si>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</si>
  <si>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</si>
  <si>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</si>
  <si>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</si>
  <si>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</si>
  <si>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</si>
  <si>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</si>
  <si>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</si>
  <si>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</si>
  <si>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</si>
  <si>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</si>
  <si>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</si>
  <si>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</si>
  <si>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</si>
  <si>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</si>
  <si>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</si>
  <si>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</si>
  <si>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</si>
  <si>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</si>
  <si>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</si>
  <si>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</si>
  <si>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</si>
  <si>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</si>
  <si>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</si>
  <si>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</si>
  <si>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</si>
  <si>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</si>
  <si>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</si>
  <si>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</si>
  <si>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</si>
  <si>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</si>
  <si>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</si>
  <si>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</si>
  <si>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</si>
  <si>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</si>
  <si>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</si>
  <si>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</si>
  <si>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</si>
  <si>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</si>
  <si>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</si>
  <si>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</si>
  <si>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</si>
  <si>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</si>
  <si>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</si>
  <si>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</si>
  <si>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</si>
  <si>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</si>
  <si>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</si>
  <si>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</si>
  <si>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</si>
  <si>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</si>
  <si>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</si>
  <si>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</si>
  <si>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</si>
  <si>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</si>
  <si>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</si>
  <si>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</si>
  <si>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</si>
  <si>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</si>
  <si>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</si>
  <si>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</si>
  <si>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</si>
  <si>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</si>
  <si>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</si>
  <si>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</si>
  <si>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</si>
  <si>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</si>
  <si>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</si>
  <si>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</si>
  <si>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</si>
  <si>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</si>
  <si>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</si>
  <si>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</si>
  <si>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</si>
  <si>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</si>
  <si>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</si>
  <si>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</si>
  <si>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</si>
  <si>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</si>
  <si>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</si>
  <si>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</si>
  <si>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</si>
  <si>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</si>
  <si>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</si>
  <si>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</si>
  <si>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</si>
  <si>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</si>
  <si>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</si>
  <si>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</si>
  <si>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</si>
  <si>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</si>
  <si>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</si>
  <si>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</si>
  <si>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</si>
  <si>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</si>
  <si>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</si>
  <si>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</si>
  <si>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</si>
  <si>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</si>
  <si>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</si>
  <si>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</si>
  <si>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</si>
  <si>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</si>
  <si>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</si>
  <si>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</si>
  <si>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</si>
  <si>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</si>
  <si>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</si>
  <si>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</si>
  <si>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</si>
  <si>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</si>
  <si>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</si>
  <si>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</si>
  <si>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</si>
  <si>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</si>
  <si>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</si>
  <si>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</si>
  <si>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</si>
  <si>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</si>
  <si>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</si>
  <si>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</si>
  <si>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</si>
  <si>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</si>
  <si>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</si>
  <si>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</si>
  <si>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</si>
  <si>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</si>
  <si>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</si>
  <si>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</si>
  <si>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</si>
  <si>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</si>
  <si>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</si>
  <si>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</si>
  <si>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</si>
  <si>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</si>
  <si>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</si>
  <si>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</si>
  <si>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</si>
  <si>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</si>
  <si>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</si>
  <si>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</si>
  <si>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</si>
  <si>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</si>
  <si>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</si>
  <si>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</si>
  <si>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</si>
  <si>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</si>
  <si>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</si>
  <si>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</si>
  <si>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</si>
  <si>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</si>
  <si>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</si>
  <si>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</si>
  <si>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</si>
  <si>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</si>
  <si>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</si>
  <si>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</si>
  <si>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</si>
  <si>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</si>
  <si>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</si>
  <si>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</si>
  <si>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</si>
  <si>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</si>
  <si>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</si>
  <si>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</si>
  <si>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</si>
  <si>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</si>
  <si>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</si>
  <si>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</si>
  <si>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</si>
  <si>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</si>
  <si>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</si>
  <si>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</si>
  <si>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</si>
  <si>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</si>
  <si>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</si>
  <si>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</si>
  <si>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</si>
  <si>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</si>
  <si>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</si>
  <si>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</si>
  <si>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</si>
  <si>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</si>
  <si>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</si>
  <si>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</si>
  <si>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</si>
  <si>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</si>
  <si>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</si>
  <si>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</si>
  <si>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</si>
  <si>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</si>
  <si>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</si>
  <si>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</si>
  <si>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</si>
  <si>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</si>
  <si>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</si>
  <si>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</si>
  <si>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</si>
  <si>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</si>
  <si>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</si>
  <si>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</si>
  <si>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</si>
  <si>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</si>
  <si>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</si>
  <si>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</si>
  <si>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</si>
  <si>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</si>
  <si>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</si>
  <si>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</si>
  <si>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</si>
  <si>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</si>
  <si>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</si>
  <si>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</si>
  <si>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</si>
  <si>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</si>
  <si>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</si>
  <si>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</si>
  <si>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</si>
  <si>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</si>
  <si>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</si>
  <si>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</si>
  <si>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</si>
  <si>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</si>
  <si>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</si>
  <si>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</si>
  <si>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</si>
  <si>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</si>
  <si>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</si>
  <si>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</si>
  <si>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</si>
  <si>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</si>
  <si>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</si>
  <si>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</si>
  <si>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</si>
  <si>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</si>
  <si>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</si>
  <si>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</si>
  <si>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</si>
  <si>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</si>
  <si>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</si>
  <si>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</si>
  <si>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</si>
  <si>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</si>
  <si>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</si>
  <si>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</si>
  <si>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</si>
  <si>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</si>
  <si>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</si>
  <si>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</si>
  <si>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</si>
  <si>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</si>
  <si>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</si>
  <si>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</si>
  <si>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</si>
  <si>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</si>
  <si>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</si>
  <si>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</si>
  <si>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</si>
  <si>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</si>
  <si>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</si>
  <si>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</si>
  <si>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</si>
  <si>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</si>
  <si>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</si>
  <si>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</si>
  <si>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</si>
  <si>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</si>
  <si>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</si>
  <si>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</si>
  <si>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</si>
  <si>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</si>
  <si>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</si>
  <si>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</si>
  <si>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</si>
  <si>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</si>
  <si>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</si>
  <si>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</si>
  <si>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</si>
  <si>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</si>
  <si>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</si>
  <si>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</si>
  <si>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</si>
  <si>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</si>
  <si>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</si>
  <si>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</si>
  <si>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</si>
  <si>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</si>
  <si>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</si>
  <si>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</si>
  <si>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</si>
  <si>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</si>
  <si>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</si>
  <si>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</si>
  <si>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</si>
  <si>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</si>
  <si>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</si>
  <si>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</si>
  <si>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</si>
  <si>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</si>
  <si>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</si>
  <si>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</si>
  <si>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</si>
  <si>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</si>
  <si>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</si>
  <si>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</si>
  <si>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</si>
  <si>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</si>
  <si>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</si>
  <si>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</si>
  <si>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</si>
  <si>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</si>
  <si>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</si>
  <si>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</si>
  <si>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</si>
  <si>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</si>
  <si>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</si>
  <si>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</si>
  <si>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</si>
  <si>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</si>
  <si>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</si>
  <si>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</si>
  <si>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</si>
  <si>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</si>
  <si>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</si>
  <si>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</si>
  <si>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</si>
  <si>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</si>
  <si>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</si>
  <si>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</si>
  <si>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</si>
  <si>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</si>
  <si>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</si>
  <si>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</si>
  <si>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</si>
  <si>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</si>
  <si>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</si>
  <si>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</si>
  <si>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</si>
  <si>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</si>
  <si>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</si>
  <si>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</si>
  <si>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</si>
  <si>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</si>
  <si>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</si>
  <si>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</si>
  <si>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</si>
  <si>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</si>
  <si>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</si>
  <si>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</si>
  <si>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</si>
  <si>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</si>
  <si>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</si>
  <si>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</si>
  <si>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</si>
  <si>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</si>
  <si>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</si>
  <si>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</si>
  <si>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</si>
  <si>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</si>
  <si>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</si>
  <si>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</si>
  <si>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</si>
  <si>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</si>
  <si>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</si>
  <si>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</si>
  <si>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</si>
  <si>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</si>
  <si>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</si>
  <si>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</si>
  <si>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</si>
  <si>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</si>
  <si>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</si>
  <si>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</si>
  <si>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</si>
  <si>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</si>
  <si>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</si>
  <si>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</si>
  <si>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</si>
  <si>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</si>
  <si>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</si>
  <si>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</si>
  <si>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</si>
  <si>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</si>
  <si>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</si>
  <si>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</si>
  <si>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</si>
  <si>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</si>
  <si>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</si>
  <si>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</si>
  <si>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</si>
  <si>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</si>
  <si>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</si>
  <si>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</si>
  <si>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</si>
  <si>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</si>
  <si>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</si>
  <si>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</si>
  <si>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</si>
  <si>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</si>
  <si>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</si>
  <si>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</si>
  <si>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</si>
  <si>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</si>
  <si>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</si>
  <si>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</si>
  <si>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</si>
  <si>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</si>
  <si>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</si>
  <si>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</si>
  <si>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</si>
  <si>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</si>
  <si>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</si>
  <si>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</si>
  <si>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</si>
  <si>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</si>
  <si>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</si>
  <si>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</si>
  <si>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</si>
  <si>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</si>
  <si>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</si>
  <si>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</si>
  <si>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</si>
  <si>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</si>
  <si>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</si>
  <si>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</si>
  <si>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</si>
  <si>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</si>
  <si>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</si>
  <si>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</si>
  <si>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</si>
  <si>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</si>
  <si>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</si>
  <si>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</si>
  <si>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</si>
  <si>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</si>
  <si>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</si>
  <si>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</si>
  <si>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</si>
  <si>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</si>
  <si>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</si>
  <si>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</si>
  <si>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</si>
  <si>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</si>
  <si>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</si>
  <si>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</si>
  <si>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</si>
  <si>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</si>
  <si>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</si>
  <si>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</si>
  <si>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</si>
  <si>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</si>
  <si>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</si>
  <si>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</si>
  <si>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</si>
  <si>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</si>
  <si>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</si>
  <si>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</si>
  <si>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</si>
  <si>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</si>
  <si>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</si>
  <si>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</si>
  <si>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</si>
  <si>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</si>
  <si>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</si>
  <si>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</si>
  <si>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</si>
  <si>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</si>
  <si>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</si>
  <si>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</si>
  <si>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</si>
  <si>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</si>
  <si>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</si>
  <si>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</si>
  <si>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</si>
  <si>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</si>
  <si>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</si>
  <si>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</si>
  <si>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</si>
  <si>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</si>
  <si>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</si>
  <si>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</si>
  <si>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</si>
  <si>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</si>
  <si>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</si>
  <si>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</si>
  <si>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</si>
  <si>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</si>
  <si>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</si>
  <si>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</si>
  <si>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</si>
  <si>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</si>
  <si>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</si>
  <si>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</si>
  <si>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</si>
  <si>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</si>
  <si>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</si>
  <si>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</si>
  <si>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</si>
  <si>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</si>
  <si>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</si>
  <si>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</si>
  <si>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</si>
  <si>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</si>
  <si>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</si>
  <si>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</si>
  <si>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</si>
  <si>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</si>
  <si>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</si>
  <si>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</si>
  <si>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</si>
  <si>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</si>
  <si>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</si>
  <si>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</si>
  <si>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</si>
  <si>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</si>
  <si>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</si>
  <si>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</si>
  <si>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</si>
  <si>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</si>
  <si>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</si>
  <si>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</si>
  <si>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</si>
  <si>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</si>
  <si>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</si>
  <si>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</si>
  <si>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</si>
  <si>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</si>
  <si>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</si>
  <si>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</si>
  <si>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</si>
  <si>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</si>
  <si>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</si>
  <si>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</si>
  <si>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</si>
  <si>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</si>
  <si>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</si>
  <si>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</si>
  <si>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</si>
  <si>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</si>
  <si>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</si>
  <si>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</si>
  <si>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</si>
  <si>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</si>
  <si>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</si>
  <si>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</si>
  <si>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</si>
  <si>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</si>
  <si>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</si>
  <si>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</si>
  <si>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</si>
  <si>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</si>
  <si>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</si>
  <si>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</si>
  <si>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</si>
  <si>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</si>
  <si>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</si>
  <si>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</si>
  <si>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</si>
  <si>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</si>
  <si>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</si>
  <si>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</si>
  <si>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</si>
  <si>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</si>
  <si>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</si>
  <si>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</si>
  <si>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</si>
  <si>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</si>
  <si>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</si>
  <si>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</si>
  <si>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</si>
  <si>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</si>
  <si>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</si>
  <si>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</si>
  <si>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</si>
  <si>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</si>
  <si>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</si>
  <si>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</si>
  <si>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</si>
  <si>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</si>
  <si>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</si>
  <si>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</si>
  <si>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</si>
  <si>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</si>
  <si>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</si>
  <si>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</si>
  <si>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</si>
  <si>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</si>
  <si>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</si>
  <si>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</si>
  <si>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</si>
  <si>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</si>
  <si>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</si>
  <si>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</si>
  <si>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</si>
  <si>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</si>
  <si>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</si>
  <si>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</si>
  <si>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</si>
  <si>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</si>
  <si>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</si>
  <si>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</si>
  <si>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</si>
  <si>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</si>
  <si>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</si>
  <si>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</si>
  <si>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</si>
  <si>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</si>
  <si>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</si>
  <si>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</si>
  <si>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</si>
  <si>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</si>
  <si>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</si>
  <si>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</si>
  <si>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</si>
  <si>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</si>
  <si>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</si>
  <si>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</si>
  <si>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</si>
  <si>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</si>
  <si>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</si>
  <si>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</si>
  <si>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</si>
  <si>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</si>
  <si>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</si>
  <si>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</si>
  <si>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</si>
  <si>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</si>
  <si>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</si>
  <si>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</si>
  <si>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</si>
  <si>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</si>
  <si>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</si>
  <si>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</si>
  <si>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</si>
  <si>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</si>
  <si>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</si>
  <si>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</si>
  <si>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</si>
  <si>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</si>
  <si>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</si>
  <si>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</si>
  <si>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</si>
  <si>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</si>
  <si>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</si>
  <si>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</si>
  <si>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</si>
  <si>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</si>
  <si>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</si>
  <si>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</si>
  <si>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</si>
  <si>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</si>
  <si>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</si>
  <si>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</si>
  <si>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</si>
  <si>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</si>
  <si>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</si>
  <si>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</si>
  <si>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</si>
  <si>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</si>
  <si>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</si>
  <si>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</si>
  <si>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</si>
  <si>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</si>
  <si>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</si>
  <si>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</si>
  <si>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</si>
  <si>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</si>
  <si>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</si>
  <si>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</si>
  <si>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</si>
  <si>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</si>
  <si>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</si>
  <si>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</si>
  <si>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</si>
  <si>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</si>
  <si>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</si>
  <si>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</si>
  <si>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</si>
  <si>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</si>
  <si>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</si>
  <si>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</si>
  <si>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</si>
  <si>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</si>
  <si>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</si>
  <si>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</si>
  <si>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</si>
  <si>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</si>
  <si>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</si>
  <si>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</si>
  <si>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</si>
  <si>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</si>
  <si>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</si>
  <si>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</si>
  <si>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</si>
  <si>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</si>
  <si>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</si>
  <si>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</si>
  <si>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</si>
  <si>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</si>
  <si>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</si>
  <si>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</si>
  <si>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</si>
  <si>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</si>
  <si>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</si>
  <si>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</si>
  <si>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</si>
  <si>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</si>
  <si>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</si>
  <si>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</si>
  <si>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</si>
  <si>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</si>
  <si>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</si>
  <si>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</si>
  <si>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</si>
  <si>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</si>
  <si>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</si>
  <si>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</si>
  <si>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</si>
  <si>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</si>
  <si>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</si>
  <si>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</si>
  <si>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</si>
  <si>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</si>
  <si>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</si>
  <si>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</si>
  <si>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</si>
  <si>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</si>
  <si>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</si>
  <si>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</si>
  <si>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</si>
  <si>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</si>
  <si>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</si>
  <si>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</si>
  <si>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</si>
  <si>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</si>
  <si>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</si>
  <si>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</si>
  <si>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</si>
  <si>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</si>
  <si>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</si>
  <si>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</si>
  <si>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</si>
  <si>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</si>
  <si>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</si>
  <si>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</si>
  <si>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</si>
  <si>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</si>
  <si>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</si>
  <si>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</si>
  <si>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</si>
  <si>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</si>
  <si>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</si>
  <si>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</si>
  <si>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</si>
  <si>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</si>
  <si>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</si>
  <si>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</si>
  <si>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</si>
  <si>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</si>
  <si>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</si>
  <si>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</si>
  <si>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</si>
  <si>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</si>
  <si>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</si>
  <si>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</si>
  <si>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</si>
  <si>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</si>
  <si>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</si>
  <si>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</si>
  <si>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</si>
  <si>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</si>
  <si>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</si>
  <si>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</si>
  <si>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</si>
  <si>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</si>
  <si>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</si>
  <si>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</si>
  <si>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</si>
  <si>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</si>
  <si>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</si>
  <si>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</si>
  <si>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</si>
  <si>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</si>
  <si>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</si>
  <si>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</si>
  <si>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</si>
  <si>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</si>
  <si>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</si>
  <si>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</si>
  <si>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</si>
  <si>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</si>
  <si>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</si>
  <si>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</si>
  <si>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</si>
  <si>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</si>
  <si>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</si>
  <si>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</si>
  <si>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</si>
  <si>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</si>
  <si>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</si>
  <si>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</si>
  <si>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</si>
  <si>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</si>
  <si>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</si>
  <si>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</si>
  <si>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</si>
  <si>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</si>
  <si>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</si>
  <si>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</si>
  <si>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</si>
  <si>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</si>
  <si>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</si>
  <si>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</si>
  <si>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</si>
  <si>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</si>
  <si>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</si>
  <si>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</si>
  <si>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</si>
  <si>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</si>
  <si>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</si>
  <si>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</si>
  <si>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</si>
  <si>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</si>
  <si>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</si>
  <si>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</si>
  <si>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</si>
  <si>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</si>
  <si>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</si>
  <si>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</si>
  <si>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</si>
  <si>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</si>
  <si>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</si>
  <si>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</si>
  <si>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</si>
  <si>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</si>
  <si>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</si>
  <si>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</si>
  <si>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</si>
  <si>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</si>
  <si>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</si>
  <si>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</si>
  <si>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</si>
  <si>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</si>
  <si>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</si>
  <si>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</si>
  <si>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</si>
  <si>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</si>
  <si>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</si>
  <si>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</si>
  <si>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</si>
  <si>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</si>
  <si>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</si>
  <si>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</si>
  <si>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</si>
  <si>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</si>
  <si>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</si>
  <si>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</si>
  <si>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</si>
  <si>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</si>
  <si>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</si>
  <si>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</si>
  <si>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</si>
  <si>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</si>
  <si>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</si>
  <si>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</si>
  <si>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</si>
  <si>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</si>
  <si>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</si>
  <si>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</si>
  <si>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</si>
  <si>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</si>
  <si>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</si>
  <si>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</si>
  <si>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</si>
  <si>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</si>
  <si>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</si>
  <si>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</si>
  <si>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</si>
  <si>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</si>
  <si>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</si>
  <si>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</si>
  <si>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</si>
  <si>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</si>
  <si>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</si>
  <si>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</si>
  <si>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</si>
  <si>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</si>
  <si>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</si>
  <si>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</si>
  <si>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</si>
  <si>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</si>
  <si>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</si>
  <si>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</si>
  <si>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</si>
  <si>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</si>
  <si>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</si>
  <si>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</si>
  <si>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</si>
  <si>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</si>
  <si>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</si>
  <si>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</si>
  <si>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</si>
  <si>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</si>
  <si>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</si>
  <si>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</si>
  <si>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</si>
  <si>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</si>
  <si>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</si>
  <si>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</si>
  <si>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</si>
  <si>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</si>
  <si>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</si>
  <si>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</si>
  <si>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</si>
  <si>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</si>
  <si>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</si>
  <si>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</si>
  <si>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</si>
  <si>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</si>
  <si>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</si>
  <si>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</si>
  <si>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</si>
  <si>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</si>
  <si>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</si>
  <si>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</si>
  <si>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</si>
  <si>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</si>
  <si>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</si>
  <si>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</si>
  <si>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</si>
  <si>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</si>
  <si>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</si>
  <si>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</si>
  <si>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</si>
  <si>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</si>
  <si>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</si>
  <si>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</si>
  <si>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</si>
  <si>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</si>
  <si>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</si>
  <si>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</si>
  <si>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</si>
  <si>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</si>
  <si>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</si>
  <si>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</si>
  <si>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</si>
  <si>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</si>
  <si>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</si>
  <si>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</si>
  <si>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</si>
  <si>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</si>
  <si>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</si>
  <si>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</si>
  <si>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</si>
  <si>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</si>
  <si>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</si>
  <si>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</si>
  <si>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</si>
  <si>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</si>
  <si>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</si>
  <si>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</si>
  <si>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</si>
  <si>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</si>
  <si>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</si>
  <si>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</si>
  <si>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</si>
  <si>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</si>
  <si>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</si>
  <si>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</si>
  <si>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</si>
  <si>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</si>
  <si>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</si>
  <si>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</si>
  <si>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</si>
  <si>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</si>
  <si>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</si>
  <si>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</si>
  <si>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</si>
  <si>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</si>
  <si>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</si>
  <si>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</si>
  <si>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</si>
  <si>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</si>
  <si>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</si>
  <si>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</si>
  <si>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</si>
  <si>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</si>
  <si>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</si>
  <si>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</si>
  <si>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</si>
  <si>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</si>
  <si>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</si>
  <si>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</si>
  <si>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</si>
  <si>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</si>
  <si>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</si>
  <si>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</si>
  <si>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</si>
  <si>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</si>
  <si>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</si>
  <si>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</si>
  <si>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</si>
  <si>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</si>
  <si>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</si>
  <si>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</si>
  <si>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</si>
  <si>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</si>
  <si>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</si>
  <si>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</si>
  <si>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</si>
  <si>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</si>
  <si>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</si>
  <si>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</si>
  <si>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</si>
  <si>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</si>
  <si>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</si>
  <si>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</si>
  <si>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</si>
  <si>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</si>
  <si>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</si>
  <si>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</si>
  <si>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</si>
  <si>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</si>
  <si>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</si>
  <si>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</si>
  <si>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</si>
  <si>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</si>
  <si>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</si>
  <si>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</si>
  <si>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</si>
  <si>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</si>
  <si>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</si>
  <si>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</si>
  <si>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</si>
  <si>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</si>
  <si>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</si>
  <si>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</si>
  <si>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</si>
  <si>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</si>
  <si>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</si>
  <si>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</si>
  <si>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</si>
  <si>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</si>
  <si>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</si>
  <si>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</si>
  <si>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</si>
  <si>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</si>
  <si>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</si>
  <si>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</si>
  <si>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</si>
  <si>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</si>
  <si>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</si>
  <si>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</si>
  <si>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</si>
  <si>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</si>
  <si>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</si>
  <si>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</si>
  <si>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</si>
  <si>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</si>
  <si>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</si>
  <si>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</si>
  <si>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</si>
  <si>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</si>
  <si>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</si>
  <si>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</si>
  <si>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</si>
  <si>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</si>
  <si>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</si>
  <si>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</si>
  <si>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</si>
  <si>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</si>
  <si>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</si>
  <si>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</si>
  <si>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</si>
  <si>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</si>
  <si>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</si>
  <si>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</si>
  <si>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</si>
  <si>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</si>
  <si>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</si>
  <si>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</si>
  <si>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</si>
  <si>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</si>
  <si>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</si>
  <si>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</si>
  <si>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</si>
  <si>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</si>
  <si>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</si>
  <si>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</si>
  <si>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</si>
  <si>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</si>
  <si>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</si>
  <si>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</si>
  <si>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</si>
  <si>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</si>
  <si>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</si>
  <si>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</si>
  <si>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</si>
  <si>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</si>
  <si>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</si>
  <si>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</si>
  <si>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</si>
  <si>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</si>
  <si>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</si>
  <si>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</si>
  <si>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</si>
  <si>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</si>
  <si>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</si>
  <si>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</si>
  <si>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</si>
  <si>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</si>
  <si>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</si>
  <si>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</si>
  <si>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</si>
  <si>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</si>
  <si>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</si>
  <si>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</si>
  <si>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</si>
  <si>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</si>
  <si>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</si>
  <si>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</si>
  <si>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</si>
  <si>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</si>
  <si>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</si>
  <si>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</si>
  <si>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</si>
  <si>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</si>
  <si>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</si>
  <si>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</si>
  <si>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</si>
  <si>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</si>
  <si>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</si>
  <si>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</si>
  <si>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</si>
  <si>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</si>
  <si>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</si>
  <si>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</si>
  <si>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</si>
  <si>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</si>
  <si>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</si>
  <si>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</si>
  <si>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</si>
  <si>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</si>
  <si>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</si>
  <si>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</si>
  <si>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</si>
  <si>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</si>
  <si>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</si>
  <si>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</si>
  <si>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</si>
  <si>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</si>
  <si>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</si>
  <si>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</si>
  <si>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</si>
  <si>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</si>
  <si>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</si>
  <si>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</si>
  <si>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</si>
  <si>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</si>
  <si>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</si>
  <si>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</si>
  <si>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</si>
  <si>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</si>
  <si>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</si>
  <si>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</si>
  <si>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</si>
  <si>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</si>
  <si>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</si>
  <si>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</si>
  <si>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</si>
  <si>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</si>
  <si>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</si>
  <si>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</si>
  <si>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</si>
  <si>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</si>
  <si>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</si>
  <si>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</si>
  <si>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</si>
  <si>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</si>
  <si>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</si>
  <si>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</si>
  <si>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</si>
  <si>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</si>
  <si>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</si>
  <si>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</si>
  <si>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</si>
  <si>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</si>
  <si>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</si>
  <si>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</si>
  <si>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</si>
  <si>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</si>
  <si>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</si>
  <si>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</si>
  <si>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</si>
  <si>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</si>
  <si>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</si>
  <si>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</si>
  <si>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</si>
  <si>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</si>
  <si>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</si>
  <si>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</si>
  <si>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</si>
  <si>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</si>
  <si>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</si>
  <si>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</si>
  <si>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</si>
  <si>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</si>
  <si>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</si>
  <si>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</si>
  <si>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</si>
  <si>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</si>
  <si>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</si>
  <si>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</si>
  <si>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</si>
  <si>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</si>
  <si>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</si>
  <si>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</si>
  <si>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</si>
  <si>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</si>
  <si>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</si>
  <si>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</si>
  <si>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</si>
  <si>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</si>
  <si>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</si>
  <si>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</si>
  <si>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</si>
  <si>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</si>
  <si>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</si>
  <si>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</si>
  <si>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</si>
  <si>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</si>
  <si>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</si>
  <si>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</si>
  <si>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</si>
  <si>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</si>
  <si>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</si>
  <si>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</si>
  <si>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</si>
  <si>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</si>
  <si>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</si>
  <si>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</si>
  <si>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</si>
  <si>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</si>
  <si>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</si>
  <si>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</si>
  <si>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</si>
  <si>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</si>
  <si>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</si>
  <si>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</si>
  <si>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</si>
  <si>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</si>
  <si>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</si>
  <si>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</si>
  <si>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</si>
  <si>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</si>
  <si>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</si>
  <si>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</si>
  <si>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</si>
  <si>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</si>
  <si>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</si>
  <si>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</si>
  <si>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</si>
  <si>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</si>
  <si>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</si>
  <si>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</si>
  <si>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</si>
  <si>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</si>
  <si>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</si>
  <si>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</si>
  <si>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</si>
  <si>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</si>
  <si>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</si>
  <si>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</si>
  <si>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</si>
  <si>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</si>
  <si>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</si>
  <si>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</si>
  <si>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</si>
  <si>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</si>
  <si>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</si>
  <si>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</si>
  <si>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</si>
  <si>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</si>
  <si>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</si>
  <si>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</si>
  <si>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</si>
  <si>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</si>
  <si>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</si>
  <si>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</si>
  <si>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</si>
  <si>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</si>
  <si>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</si>
  <si>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</si>
  <si>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</si>
  <si>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</si>
  <si>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</si>
  <si>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</si>
  <si>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</si>
  <si>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</si>
  <si>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</si>
  <si>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</si>
  <si>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</si>
  <si>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</si>
  <si>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</si>
  <si>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</si>
  <si>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</si>
  <si>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</si>
  <si>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</si>
  <si>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</si>
  <si>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</si>
  <si>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</si>
  <si>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</si>
  <si>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</si>
  <si>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</si>
  <si>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</si>
  <si>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</si>
  <si>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</si>
  <si>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</si>
  <si>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</si>
  <si>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</si>
  <si>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</si>
  <si>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</si>
  <si>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</si>
  <si>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</si>
  <si>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</si>
  <si>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</si>
  <si>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</si>
  <si>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</si>
  <si>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</si>
  <si>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</si>
  <si>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</si>
  <si>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</si>
  <si>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</si>
  <si>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</si>
  <si>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</si>
  <si>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</si>
  <si>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T1-180/64/41</t>
  </si>
  <si>
    <t>PWI 06</t>
  </si>
  <si>
    <t>=</t>
  </si>
  <si>
    <t>R1</t>
  </si>
  <si>
    <t>Daya 1.300 VA</t>
  </si>
  <si>
    <t>KOORDINAT : -6.895926, 110.617159</t>
  </si>
  <si>
    <t>KOS LC SARDIMAN</t>
  </si>
  <si>
    <t>MANGUNJIWAN,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</si>
</sst>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12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quotePrefix="1" applyFont="1" applyAlignment="1">
      <alignment horizontal="left"/>
    </xf>
    <xf numFmtId="0" fontId="162" fillId="0" borderId="0" xfId="1451" applyFont="1" applyAlignment="1">
      <alignment horizontal="left"/>
    </xf>
  </cellXfs>
  <cellStyles count="3389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0 5" xfId="2695"/>
    <cellStyle name="Comma [0] 11" xfId="532"/>
    <cellStyle name="Comma [0] 11 2" xfId="533"/>
    <cellStyle name="Comma [0] 11 2 2" xfId="534"/>
    <cellStyle name="Comma [0] 11 2 3" xfId="2901"/>
    <cellStyle name="Comma [0] 11 3" xfId="535"/>
    <cellStyle name="Comma [0] 11 4" xfId="2900"/>
    <cellStyle name="Comma [0] 12" xfId="536"/>
    <cellStyle name="Comma [0] 12 2" xfId="537"/>
    <cellStyle name="Comma [0] 12 2 2" xfId="538"/>
    <cellStyle name="Comma [0] 12 2 3" xfId="2903"/>
    <cellStyle name="Comma [0] 12 3" xfId="539"/>
    <cellStyle name="Comma [0] 12 3 2" xfId="540"/>
    <cellStyle name="Comma [0] 12 3 3" xfId="2904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3" xfId="2910"/>
    <cellStyle name="Comma [0] 18 3" xfId="557"/>
    <cellStyle name="Comma [0] 18 4" xfId="2909"/>
    <cellStyle name="Comma [0] 19" xfId="558"/>
    <cellStyle name="Comma [0] 19 2" xfId="559"/>
    <cellStyle name="Comma [0] 19 2 2" xfId="560"/>
    <cellStyle name="Comma [0] 19 2 3" xfId="2912"/>
    <cellStyle name="Comma [0] 19 3" xfId="561"/>
    <cellStyle name="Comma [0] 19 4" xfId="2911"/>
    <cellStyle name="Comma [0] 2" xfId="562"/>
    <cellStyle name="Comma [0] 2 10" xfId="563"/>
    <cellStyle name="Comma [0] 2 10 2" xfId="564"/>
    <cellStyle name="Comma [0] 2 10 3" xfId="565"/>
    <cellStyle name="Comma [0] 2 10 4" xfId="2913"/>
    <cellStyle name="Comma [0] 2 11" xfId="566"/>
    <cellStyle name="Comma [0] 2 11 2" xfId="2914"/>
    <cellStyle name="Comma [0] 2 12" xfId="567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3" xfId="2921"/>
    <cellStyle name="Comma [0] 2 2 2 2 2 2 2 3" xfId="576"/>
    <cellStyle name="Comma [0] 2 2 2 2 2 2 2 3 2" xfId="577"/>
    <cellStyle name="Comma [0] 2 2 2 2 2 2 2 3 3" xfId="2922"/>
    <cellStyle name="Comma [0] 2 2 2 2 2 2 2 4" xfId="2920"/>
    <cellStyle name="Comma [0] 2 2 2 2 2 2 3" xfId="578"/>
    <cellStyle name="Comma [0] 2 2 2 2 2 2 3 2" xfId="2923"/>
    <cellStyle name="Comma [0] 2 2 2 2 2 2 4" xfId="579"/>
    <cellStyle name="Comma [0] 2 2 2 2 2 2 5" xfId="2919"/>
    <cellStyle name="Comma [0] 2 2 2 2 2 3" xfId="580"/>
    <cellStyle name="Comma [0] 2 2 2 2 2 3 2" xfId="581"/>
    <cellStyle name="Comma [0] 2 2 2 2 2 3 3" xfId="2924"/>
    <cellStyle name="Comma [0] 2 2 2 2 2 4" xfId="582"/>
    <cellStyle name="Comma [0] 2 2 2 2 2 4 2" xfId="583"/>
    <cellStyle name="Comma [0] 2 2 2 2 2 4 3" xfId="2925"/>
    <cellStyle name="Comma [0] 2 2 2 2 2 5" xfId="2918"/>
    <cellStyle name="Comma [0] 2 2 2 2 3" xfId="584"/>
    <cellStyle name="Comma [0] 2 2 2 2 3 2" xfId="2926"/>
    <cellStyle name="Comma [0] 2 2 2 2 4" xfId="585"/>
    <cellStyle name="Comma [0] 2 2 2 2 4 2" xfId="2927"/>
    <cellStyle name="Comma [0] 2 2 2 2 5" xfId="586"/>
    <cellStyle name="Comma [0] 2 2 2 2 6" xfId="2917"/>
    <cellStyle name="Comma [0] 2 2 2 3" xfId="587"/>
    <cellStyle name="Comma [0] 2 2 2 3 2" xfId="588"/>
    <cellStyle name="Comma [0] 2 2 2 3 3" xfId="2928"/>
    <cellStyle name="Comma [0] 2 2 2 4" xfId="589"/>
    <cellStyle name="Comma [0] 2 2 2 4 2" xfId="590"/>
    <cellStyle name="Comma [0] 2 2 2 4 3" xfId="2929"/>
    <cellStyle name="Comma [0] 2 2 2 5" xfId="591"/>
    <cellStyle name="Comma [0] 2 2 2 5 2" xfId="592"/>
    <cellStyle name="Comma [0] 2 2 2 5 3" xfId="2930"/>
    <cellStyle name="Comma [0] 2 2 2 6" xfId="593"/>
    <cellStyle name="Comma [0] 2 2 2 7" xfId="2916"/>
    <cellStyle name="Comma [0] 2 2 3" xfId="594"/>
    <cellStyle name="Comma [0] 2 2 3 2" xfId="2931"/>
    <cellStyle name="Comma [0] 2 2 4" xfId="595"/>
    <cellStyle name="Comma [0] 2 2 4 2" xfId="2932"/>
    <cellStyle name="Comma [0] 2 2 5" xfId="596"/>
    <cellStyle name="Comma [0] 2 2 5 2" xfId="2933"/>
    <cellStyle name="Comma [0] 2 2 6" xfId="597"/>
    <cellStyle name="Comma [0] 2 2 6 2" xfId="598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7" xfId="613"/>
    <cellStyle name="Comma [0] 2 3 8" xfId="614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3" xfId="656"/>
    <cellStyle name="Comma [0] 23 2" xfId="2981"/>
    <cellStyle name="Comma [0] 24" xfId="657"/>
    <cellStyle name="Comma [0] 24 2" xfId="658"/>
    <cellStyle name="Comma [0] 24 2 2" xfId="659"/>
    <cellStyle name="Comma [0] 24 2 3" xfId="2983"/>
    <cellStyle name="Comma [0] 24 3" xfId="660"/>
    <cellStyle name="Comma [0] 24 4" xfId="2982"/>
    <cellStyle name="Comma [0] 25" xfId="661"/>
    <cellStyle name="Comma [0] 25 2" xfId="2984"/>
    <cellStyle name="Comma [0] 26" xfId="662"/>
    <cellStyle name="Comma [0] 27" xfId="663"/>
    <cellStyle name="Comma [0] 27 2" xfId="664"/>
    <cellStyle name="Comma [0] 27 3" xfId="2985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4" xfId="2986"/>
    <cellStyle name="Comma [0] 3 3" xfId="669"/>
    <cellStyle name="Comma [0] 3 4" xfId="2693"/>
    <cellStyle name="Comma [0] 32" xfId="670"/>
    <cellStyle name="Comma [0] 32 2" xfId="671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3" xfId="2991"/>
    <cellStyle name="Comma [0] 4 3" xfId="676"/>
    <cellStyle name="Comma [0] 4 3 2" xfId="677"/>
    <cellStyle name="Comma [0] 4 3 3" xfId="2992"/>
    <cellStyle name="Comma [0] 4 4" xfId="678"/>
    <cellStyle name="Comma [0] 4 4 2" xfId="679"/>
    <cellStyle name="Comma [0] 4 5" xfId="680"/>
    <cellStyle name="Comma [0] 4 6" xfId="68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3" xfId="3001"/>
    <cellStyle name="Comma [0] 8 3" xfId="696"/>
    <cellStyle name="Comma [0] 8 3 2" xfId="697"/>
    <cellStyle name="Comma [0] 8 3 3" xfId="3002"/>
    <cellStyle name="Comma [0] 8 4" xfId="698"/>
    <cellStyle name="Comma [0] 8 5" xfId="3000"/>
    <cellStyle name="Comma [0] 9" xfId="699"/>
    <cellStyle name="Comma [0] 9 2" xfId="700"/>
    <cellStyle name="Comma [0] 9 2 2" xfId="701"/>
    <cellStyle name="Comma [0] 9 2 3" xfId="3004"/>
    <cellStyle name="Comma [0] 9 3" xfId="702"/>
    <cellStyle name="Comma [0] 9 3 2" xfId="703"/>
    <cellStyle name="Comma [0] 9 3 3" xfId="3005"/>
    <cellStyle name="Comma [0] 9 4" xfId="3003"/>
    <cellStyle name="Comma [0] 90" xfId="704"/>
    <cellStyle name="Comma [0] 90 2" xfId="705"/>
    <cellStyle name="Comma [0] 90 3" xfId="3006"/>
    <cellStyle name="Comma [0] 91" xfId="706"/>
    <cellStyle name="Comma [0] 91 2" xfId="707"/>
    <cellStyle name="Comma [0] 91 3" xfId="3007"/>
    <cellStyle name="Comma [0] 93" xfId="708"/>
    <cellStyle name="Comma [0] 93 2" xfId="709"/>
    <cellStyle name="Comma [0] 93 3" xfId="3008"/>
    <cellStyle name="Comma [0] 94" xfId="710"/>
    <cellStyle name="Comma [0] 94 2" xfId="711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4" xfId="3010"/>
    <cellStyle name="Comma 10 3" xfId="719"/>
    <cellStyle name="Comma 10 3 2" xfId="720"/>
    <cellStyle name="Comma 10 3 3" xfId="3012"/>
    <cellStyle name="Comma 10 4" xfId="721"/>
    <cellStyle name="Comma 10 4 2" xfId="722"/>
    <cellStyle name="Comma 10 4 3" xfId="3013"/>
    <cellStyle name="Comma 10 5" xfId="723"/>
    <cellStyle name="Comma 10 5 2" xfId="724"/>
    <cellStyle name="Comma 10 5 3" xfId="3014"/>
    <cellStyle name="Comma 10 6" xfId="725"/>
    <cellStyle name="Comma 10 6 2" xfId="726"/>
    <cellStyle name="Comma 10 6 3" xfId="3015"/>
    <cellStyle name="Comma 10 7" xfId="727"/>
    <cellStyle name="Comma 10 8" xfId="728"/>
    <cellStyle name="Comma 11" xfId="729"/>
    <cellStyle name="Comma 11 2" xfId="730"/>
    <cellStyle name="Comma 11 3" xfId="3016"/>
    <cellStyle name="Comma 12" xfId="731"/>
    <cellStyle name="Comma 12 2" xfId="732"/>
    <cellStyle name="Comma 12 2 2" xfId="733"/>
    <cellStyle name="Comma 12 2 3" xfId="3018"/>
    <cellStyle name="Comma 12 3" xfId="734"/>
    <cellStyle name="Comma 12 3 2" xfId="735"/>
    <cellStyle name="Comma 12 3 3" xfId="3019"/>
    <cellStyle name="Comma 12 4" xfId="736"/>
    <cellStyle name="Comma 12 4 2" xfId="737"/>
    <cellStyle name="Comma 12 4 3" xfId="3020"/>
    <cellStyle name="Comma 12 5" xfId="738"/>
    <cellStyle name="Comma 12 5 2" xfId="739"/>
    <cellStyle name="Comma 12 5 3" xfId="3021"/>
    <cellStyle name="Comma 12 6" xfId="740"/>
    <cellStyle name="Comma 12 6 2" xfId="741"/>
    <cellStyle name="Comma 12 6 3" xfId="3022"/>
    <cellStyle name="Comma 12 7" xfId="742"/>
    <cellStyle name="Comma 12 8" xfId="3017"/>
    <cellStyle name="Comma 13" xfId="743"/>
    <cellStyle name="Comma 13 2" xfId="744"/>
    <cellStyle name="Comma 13 2 2" xfId="745"/>
    <cellStyle name="Comma 13 2 3" xfId="3024"/>
    <cellStyle name="Comma 13 3" xfId="746"/>
    <cellStyle name="Comma 13 4" xfId="3023"/>
    <cellStyle name="Comma 14" xfId="747"/>
    <cellStyle name="Comma 14 2" xfId="748"/>
    <cellStyle name="Comma 14 2 2" xfId="749"/>
    <cellStyle name="Comma 14 2 2 2" xfId="750"/>
    <cellStyle name="Comma 14 2 2 3" xfId="3027"/>
    <cellStyle name="Comma 14 2 3" xfId="751"/>
    <cellStyle name="Comma 14 2 4" xfId="3026"/>
    <cellStyle name="Comma 14 3" xfId="752"/>
    <cellStyle name="Comma 14 4" xfId="3025"/>
    <cellStyle name="Comma 15" xfId="753"/>
    <cellStyle name="Comma 15 2" xfId="754"/>
    <cellStyle name="Comma 15 2 2" xfId="755"/>
    <cellStyle name="Comma 15 2 3" xfId="3029"/>
    <cellStyle name="Comma 15 3" xfId="756"/>
    <cellStyle name="Comma 15 3 2" xfId="757"/>
    <cellStyle name="Comma 15 3 3" xfId="3030"/>
    <cellStyle name="Comma 15 4" xfId="758"/>
    <cellStyle name="Comma 15 4 2" xfId="759"/>
    <cellStyle name="Comma 15 4 3" xfId="3031"/>
    <cellStyle name="Comma 15 5" xfId="760"/>
    <cellStyle name="Comma 15 6" xfId="3028"/>
    <cellStyle name="Comma 16" xfId="761"/>
    <cellStyle name="Comma 16 2" xfId="762"/>
    <cellStyle name="Comma 16 3" xfId="3032"/>
    <cellStyle name="Comma 17" xfId="763"/>
    <cellStyle name="Comma 17 2" xfId="764"/>
    <cellStyle name="Comma 17 2 2" xfId="765"/>
    <cellStyle name="Comma 17 2 3" xfId="3034"/>
    <cellStyle name="Comma 17 3" xfId="3033"/>
    <cellStyle name="Comma 18" xfId="766"/>
    <cellStyle name="Comma 18 2" xfId="767"/>
    <cellStyle name="Comma 18 2 2" xfId="768"/>
    <cellStyle name="Comma 18 2 3" xfId="3036"/>
    <cellStyle name="Comma 18 3" xfId="769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6" xfId="3037"/>
    <cellStyle name="Comma 2" xfId="775"/>
    <cellStyle name="Comma 2 10" xfId="776"/>
    <cellStyle name="Comma 2 10 2" xfId="777"/>
    <cellStyle name="Comma 2 10 3" xfId="3041"/>
    <cellStyle name="Comma 2 11" xfId="778"/>
    <cellStyle name="Comma 2 11 2" xfId="779"/>
    <cellStyle name="Comma 2 11 3" xfId="3042"/>
    <cellStyle name="Comma 2 12" xfId="780"/>
    <cellStyle name="Comma 2 12 2" xfId="781"/>
    <cellStyle name="Comma 2 12 3" xfId="3043"/>
    <cellStyle name="Comma 2 13" xfId="782"/>
    <cellStyle name="Comma 2 13 2" xfId="783"/>
    <cellStyle name="Comma 2 13 3" xfId="3044"/>
    <cellStyle name="Comma 2 14" xfId="784"/>
    <cellStyle name="Comma 2 14 2" xfId="785"/>
    <cellStyle name="Comma 2 14 3" xfId="3045"/>
    <cellStyle name="Comma 2 15" xfId="786"/>
    <cellStyle name="Comma 2 15 2" xfId="787"/>
    <cellStyle name="Comma 2 15 3" xfId="3046"/>
    <cellStyle name="Comma 2 16" xfId="788"/>
    <cellStyle name="Comma 2 16 2" xfId="789"/>
    <cellStyle name="Comma 2 16 3" xfId="3047"/>
    <cellStyle name="Comma 2 17" xfId="790"/>
    <cellStyle name="Comma 2 17 2" xfId="791"/>
    <cellStyle name="Comma 2 17 3" xfId="3048"/>
    <cellStyle name="Comma 2 18" xfId="792"/>
    <cellStyle name="Comma 2 18 2" xfId="793"/>
    <cellStyle name="Comma 2 18 3" xfId="3049"/>
    <cellStyle name="Comma 2 19" xfId="794"/>
    <cellStyle name="Comma 2 19 2" xfId="795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3" xfId="3056"/>
    <cellStyle name="Comma 2 2 2 2 2 2 2 3" xfId="804"/>
    <cellStyle name="Comma 2 2 2 2 2 2 2 3 2" xfId="805"/>
    <cellStyle name="Comma 2 2 2 2 2 2 2 3 3" xfId="3057"/>
    <cellStyle name="Comma 2 2 2 2 2 2 2 4" xfId="3055"/>
    <cellStyle name="Comma 2 2 2 2 2 2 3" xfId="806"/>
    <cellStyle name="Comma 2 2 2 2 2 2 3 2" xfId="3058"/>
    <cellStyle name="Comma 2 2 2 2 2 2 4" xfId="807"/>
    <cellStyle name="Comma 2 2 2 2 2 2 5" xfId="3054"/>
    <cellStyle name="Comma 2 2 2 2 2 3" xfId="808"/>
    <cellStyle name="Comma 2 2 2 2 2 3 2" xfId="809"/>
    <cellStyle name="Comma 2 2 2 2 2 3 3" xfId="3059"/>
    <cellStyle name="Comma 2 2 2 2 2 4" xfId="810"/>
    <cellStyle name="Comma 2 2 2 2 2 4 2" xfId="811"/>
    <cellStyle name="Comma 2 2 2 2 2 4 3" xfId="3060"/>
    <cellStyle name="Comma 2 2 2 2 2 5" xfId="3053"/>
    <cellStyle name="Comma 2 2 2 2 3" xfId="812"/>
    <cellStyle name="Comma 2 2 2 2 3 2" xfId="3061"/>
    <cellStyle name="Comma 2 2 2 2 4" xfId="813"/>
    <cellStyle name="Comma 2 2 2 2 4 2" xfId="3062"/>
    <cellStyle name="Comma 2 2 2 2 5" xfId="814"/>
    <cellStyle name="Comma 2 2 2 2 6" xfId="3052"/>
    <cellStyle name="Comma 2 2 2 3" xfId="815"/>
    <cellStyle name="Comma 2 2 2 3 2" xfId="816"/>
    <cellStyle name="Comma 2 2 2 3 3" xfId="3063"/>
    <cellStyle name="Comma 2 2 2 4" xfId="817"/>
    <cellStyle name="Comma 2 2 2 4 2" xfId="818"/>
    <cellStyle name="Comma 2 2 2 4 3" xfId="3064"/>
    <cellStyle name="Comma 2 2 2 5" xfId="819"/>
    <cellStyle name="Comma 2 2 2 5 2" xfId="820"/>
    <cellStyle name="Comma 2 2 2 5 3" xfId="3065"/>
    <cellStyle name="Comma 2 2 2 6" xfId="3051"/>
    <cellStyle name="Comma 2 2 3" xfId="821"/>
    <cellStyle name="Comma 2 2 3 2" xfId="822"/>
    <cellStyle name="Comma 2 2 3 3" xfId="3066"/>
    <cellStyle name="Comma 2 2 4" xfId="823"/>
    <cellStyle name="Comma 2 2 4 2" xfId="3067"/>
    <cellStyle name="Comma 2 2 5" xfId="824"/>
    <cellStyle name="Comma 2 2 5 2" xfId="3068"/>
    <cellStyle name="Comma 2 2 6" xfId="825"/>
    <cellStyle name="Comma 2 2 6 2" xfId="3069"/>
    <cellStyle name="Comma 2 2 7" xfId="826"/>
    <cellStyle name="Comma 2 20" xfId="827"/>
    <cellStyle name="Comma 2 20 2" xfId="828"/>
    <cellStyle name="Comma 2 20 3" xfId="3070"/>
    <cellStyle name="Comma 2 21" xfId="829"/>
    <cellStyle name="Comma 2 21 2" xfId="830"/>
    <cellStyle name="Comma 2 21 3" xfId="3071"/>
    <cellStyle name="Comma 2 22" xfId="831"/>
    <cellStyle name="Comma 2 22 2" xfId="832"/>
    <cellStyle name="Comma 2 22 3" xfId="3072"/>
    <cellStyle name="Comma 2 23" xfId="833"/>
    <cellStyle name="Comma 2 23 2" xfId="834"/>
    <cellStyle name="Comma 2 23 3" xfId="3073"/>
    <cellStyle name="Comma 2 24" xfId="835"/>
    <cellStyle name="Comma 2 24 2" xfId="836"/>
    <cellStyle name="Comma 2 24 3" xfId="3074"/>
    <cellStyle name="Comma 2 25" xfId="837"/>
    <cellStyle name="Comma 2 25 2" xfId="838"/>
    <cellStyle name="Comma 2 25 3" xfId="3075"/>
    <cellStyle name="Comma 2 26" xfId="839"/>
    <cellStyle name="Comma 2 26 2" xfId="840"/>
    <cellStyle name="Comma 2 26 3" xfId="3076"/>
    <cellStyle name="Comma 2 27" xfId="841"/>
    <cellStyle name="Comma 2 27 2" xfId="842"/>
    <cellStyle name="Comma 2 27 3" xfId="3077"/>
    <cellStyle name="Comma 2 28" xfId="843"/>
    <cellStyle name="Comma 2 28 2" xfId="844"/>
    <cellStyle name="Comma 2 28 3" xfId="3078"/>
    <cellStyle name="Comma 2 29" xfId="845"/>
    <cellStyle name="Comma 2 29 2" xfId="846"/>
    <cellStyle name="Comma 2 29 3" xfId="3079"/>
    <cellStyle name="Comma 2 3" xfId="847"/>
    <cellStyle name="Comma 2 3 2" xfId="848"/>
    <cellStyle name="Comma 2 3 3" xfId="3080"/>
    <cellStyle name="Comma 2 30" xfId="849"/>
    <cellStyle name="Comma 2 30 2" xfId="850"/>
    <cellStyle name="Comma 2 30 3" xfId="3081"/>
    <cellStyle name="Comma 2 31" xfId="851"/>
    <cellStyle name="Comma 2 31 2" xfId="852"/>
    <cellStyle name="Comma 2 31 3" xfId="3082"/>
    <cellStyle name="Comma 2 32" xfId="853"/>
    <cellStyle name="Comma 2 32 2" xfId="854"/>
    <cellStyle name="Comma 2 32 3" xfId="3083"/>
    <cellStyle name="Comma 2 33" xfId="855"/>
    <cellStyle name="Comma 2 33 2" xfId="856"/>
    <cellStyle name="Comma 2 33 3" xfId="3084"/>
    <cellStyle name="Comma 2 34" xfId="857"/>
    <cellStyle name="Comma 2 34 2" xfId="858"/>
    <cellStyle name="Comma 2 34 3" xfId="3085"/>
    <cellStyle name="Comma 2 35" xfId="859"/>
    <cellStyle name="Comma 2 35 2" xfId="860"/>
    <cellStyle name="Comma 2 35 3" xfId="3086"/>
    <cellStyle name="Comma 2 36" xfId="861"/>
    <cellStyle name="Comma 2 36 2" xfId="862"/>
    <cellStyle name="Comma 2 36 3" xfId="3087"/>
    <cellStyle name="Comma 2 37" xfId="863"/>
    <cellStyle name="Comma 2 37 2" xfId="864"/>
    <cellStyle name="Comma 2 37 3" xfId="3088"/>
    <cellStyle name="Comma 2 38" xfId="865"/>
    <cellStyle name="Comma 2 38 2" xfId="866"/>
    <cellStyle name="Comma 2 38 3" xfId="3089"/>
    <cellStyle name="Comma 2 39" xfId="867"/>
    <cellStyle name="Comma 2 39 2" xfId="868"/>
    <cellStyle name="Comma 2 39 3" xfId="3090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0 3" xfId="3091"/>
    <cellStyle name="Comma 2 41" xfId="875"/>
    <cellStyle name="Comma 2 41 2" xfId="876"/>
    <cellStyle name="Comma 2 41 3" xfId="3092"/>
    <cellStyle name="Comma 2 42" xfId="877"/>
    <cellStyle name="Comma 2 42 2" xfId="878"/>
    <cellStyle name="Comma 2 42 3" xfId="3093"/>
    <cellStyle name="Comma 2 43" xfId="879"/>
    <cellStyle name="Comma 2 43 2" xfId="880"/>
    <cellStyle name="Comma 2 43 3" xfId="3094"/>
    <cellStyle name="Comma 2 44" xfId="881"/>
    <cellStyle name="Comma 2 44 2" xfId="882"/>
    <cellStyle name="Comma 2 44 3" xfId="3095"/>
    <cellStyle name="Comma 2 45" xfId="883"/>
    <cellStyle name="Comma 2 45 2" xfId="884"/>
    <cellStyle name="Comma 2 45 3" xfId="3096"/>
    <cellStyle name="Comma 2 46" xfId="885"/>
    <cellStyle name="Comma 2 46 2" xfId="886"/>
    <cellStyle name="Comma 2 46 3" xfId="3097"/>
    <cellStyle name="Comma 2 47" xfId="887"/>
    <cellStyle name="Comma 2 47 2" xfId="888"/>
    <cellStyle name="Comma 2 47 3" xfId="3098"/>
    <cellStyle name="Comma 2 48" xfId="889"/>
    <cellStyle name="Comma 2 48 2" xfId="890"/>
    <cellStyle name="Comma 2 48 3" xfId="3099"/>
    <cellStyle name="Comma 2 49" xfId="891"/>
    <cellStyle name="Comma 2 49 2" xfId="892"/>
    <cellStyle name="Comma 2 49 3" xfId="3100"/>
    <cellStyle name="Comma 2 5" xfId="893"/>
    <cellStyle name="Comma 2 5 2" xfId="894"/>
    <cellStyle name="Comma 2 5 3" xfId="3101"/>
    <cellStyle name="Comma 2 50" xfId="895"/>
    <cellStyle name="Comma 2 50 2" xfId="896"/>
    <cellStyle name="Comma 2 50 3" xfId="3102"/>
    <cellStyle name="Comma 2 51" xfId="897"/>
    <cellStyle name="Comma 2 51 2" xfId="898"/>
    <cellStyle name="Comma 2 51 3" xfId="3103"/>
    <cellStyle name="Comma 2 52" xfId="899"/>
    <cellStyle name="Comma 2 52 2" xfId="900"/>
    <cellStyle name="Comma 2 52 3" xfId="3104"/>
    <cellStyle name="Comma 2 53" xfId="901"/>
    <cellStyle name="Comma 2 53 2" xfId="902"/>
    <cellStyle name="Comma 2 53 3" xfId="3105"/>
    <cellStyle name="Comma 2 54" xfId="903"/>
    <cellStyle name="Comma 2 54 2" xfId="904"/>
    <cellStyle name="Comma 2 54 3" xfId="3106"/>
    <cellStyle name="Comma 2 55" xfId="905"/>
    <cellStyle name="Comma 2 55 2" xfId="906"/>
    <cellStyle name="Comma 2 55 3" xfId="3107"/>
    <cellStyle name="Comma 2 56" xfId="907"/>
    <cellStyle name="Comma 2 56 2" xfId="908"/>
    <cellStyle name="Comma 2 56 3" xfId="3108"/>
    <cellStyle name="Comma 2 57" xfId="909"/>
    <cellStyle name="Comma 2 57 2" xfId="910"/>
    <cellStyle name="Comma 2 57 3" xfId="3109"/>
    <cellStyle name="Comma 2 58" xfId="911"/>
    <cellStyle name="Comma 2 58 2" xfId="912"/>
    <cellStyle name="Comma 2 58 2 2" xfId="913"/>
    <cellStyle name="Comma 2 58 2 3" xfId="3111"/>
    <cellStyle name="Comma 2 58 3" xfId="914"/>
    <cellStyle name="Comma 2 58 3 2" xfId="915"/>
    <cellStyle name="Comma 2 58 3 3" xfId="3112"/>
    <cellStyle name="Comma 2 58 4" xfId="916"/>
    <cellStyle name="Comma 2 58 4 2" xfId="917"/>
    <cellStyle name="Comma 2 58 4 3" xfId="3113"/>
    <cellStyle name="Comma 2 58 5" xfId="918"/>
    <cellStyle name="Comma 2 58 6" xfId="3110"/>
    <cellStyle name="Comma 2 59" xfId="919"/>
    <cellStyle name="Comma 2 59 2" xfId="920"/>
    <cellStyle name="Comma 2 59 3" xfId="3114"/>
    <cellStyle name="Comma 2 6" xfId="921"/>
    <cellStyle name="Comma 2 6 2" xfId="922"/>
    <cellStyle name="Comma 2 60" xfId="923"/>
    <cellStyle name="Comma 2 60 2" xfId="924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3" xfId="3116"/>
    <cellStyle name="Comma 2 9" xfId="948"/>
    <cellStyle name="Comma 2 9 2" xfId="949"/>
    <cellStyle name="Comma 2 9 3" xfId="3117"/>
    <cellStyle name="Comma 20" xfId="950"/>
    <cellStyle name="Comma 20 2" xfId="951"/>
    <cellStyle name="Comma 20 2 2" xfId="952"/>
    <cellStyle name="Comma 20 2 3" xfId="3119"/>
    <cellStyle name="Comma 20 3" xfId="953"/>
    <cellStyle name="Comma 20 4" xfId="3118"/>
    <cellStyle name="Comma 21" xfId="954"/>
    <cellStyle name="Comma 21 2" xfId="955"/>
    <cellStyle name="Comma 21 2 2" xfId="956"/>
    <cellStyle name="Comma 21 2 3" xfId="3121"/>
    <cellStyle name="Comma 21 3" xfId="957"/>
    <cellStyle name="Comma 21 4" xfId="3120"/>
    <cellStyle name="Comma 22" xfId="958"/>
    <cellStyle name="Comma 22 2" xfId="959"/>
    <cellStyle name="Comma 22 2 2" xfId="960"/>
    <cellStyle name="Comma 22 2 3" xfId="3123"/>
    <cellStyle name="Comma 22 3" xfId="961"/>
    <cellStyle name="Comma 22 4" xfId="3122"/>
    <cellStyle name="Comma 23" xfId="962"/>
    <cellStyle name="Comma 23 2" xfId="963"/>
    <cellStyle name="Comma 23 3" xfId="3124"/>
    <cellStyle name="Comma 24" xfId="964"/>
    <cellStyle name="Comma 24 2" xfId="965"/>
    <cellStyle name="Comma 24 3" xfId="3125"/>
    <cellStyle name="Comma 25" xfId="966"/>
    <cellStyle name="Comma 25 2" xfId="967"/>
    <cellStyle name="Comma 25 3" xfId="3126"/>
    <cellStyle name="Comma 26" xfId="968"/>
    <cellStyle name="Comma 26 2" xfId="969"/>
    <cellStyle name="Comma 26 3" xfId="3127"/>
    <cellStyle name="Comma 27" xfId="970"/>
    <cellStyle name="Comma 27 2" xfId="3128"/>
    <cellStyle name="Comma 28" xfId="971"/>
    <cellStyle name="Comma 28 2" xfId="972"/>
    <cellStyle name="Comma 28 3" xfId="3129"/>
    <cellStyle name="Comma 29" xfId="973"/>
    <cellStyle name="Comma 29 2" xfId="974"/>
    <cellStyle name="Comma 29 3" xfId="3130"/>
    <cellStyle name="Comma 3" xfId="975"/>
    <cellStyle name="Comma 3 10" xfId="976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0 3" xfId="3180"/>
    <cellStyle name="Comma 31" xfId="1030"/>
    <cellStyle name="Comma 31 2" xfId="1031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3 4" xfId="3182"/>
    <cellStyle name="Comma 34" xfId="1038"/>
    <cellStyle name="Comma 34 2" xfId="1039"/>
    <cellStyle name="Comma 34 3" xfId="3183"/>
    <cellStyle name="Comma 35" xfId="1040"/>
    <cellStyle name="Comma 36" xfId="1041"/>
    <cellStyle name="Comma 37" xfId="1042"/>
    <cellStyle name="Comma 37 2" xfId="1043"/>
    <cellStyle name="Comma 37 3" xfId="3184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2 3" xfId="3186"/>
    <cellStyle name="Comma 4 3" xfId="1050"/>
    <cellStyle name="Comma 4 4" xfId="1051"/>
    <cellStyle name="Comma 4 5" xfId="1052"/>
    <cellStyle name="Comma 4 6" xfId="3185"/>
    <cellStyle name="Comma 40" xfId="1053"/>
    <cellStyle name="Comma 42" xfId="1054"/>
    <cellStyle name="Comma 42 2" xfId="1055"/>
    <cellStyle name="Comma 42 3" xfId="3187"/>
    <cellStyle name="Comma 45" xfId="1056"/>
    <cellStyle name="Comma 45 2" xfId="1057"/>
    <cellStyle name="Comma 45 3" xfId="3188"/>
    <cellStyle name="Comma 46" xfId="1058"/>
    <cellStyle name="Comma 46 2" xfId="1059"/>
    <cellStyle name="Comma 46 3" xfId="3189"/>
    <cellStyle name="Comma 47" xfId="1060"/>
    <cellStyle name="Comma 47 2" xfId="1061"/>
    <cellStyle name="Comma 47 3" xfId="3190"/>
    <cellStyle name="Comma 48" xfId="1062"/>
    <cellStyle name="Comma 48 2" xfId="1063"/>
    <cellStyle name="Comma 48 3" xfId="3191"/>
    <cellStyle name="Comma 49" xfId="1064"/>
    <cellStyle name="Comma 49 2" xfId="1065"/>
    <cellStyle name="Comma 49 3" xfId="3192"/>
    <cellStyle name="Comma 5" xfId="1066"/>
    <cellStyle name="Comma 5 2" xfId="1067"/>
    <cellStyle name="Comma 5 2 2" xfId="1068"/>
    <cellStyle name="Comma 5 2 3" xfId="3193"/>
    <cellStyle name="Comma 5 3" xfId="1069"/>
    <cellStyle name="Comma 50" xfId="1070"/>
    <cellStyle name="Comma 50 2" xfId="1071"/>
    <cellStyle name="Comma 50 3" xfId="3194"/>
    <cellStyle name="Comma 51" xfId="1072"/>
    <cellStyle name="Comma 51 2" xfId="1073"/>
    <cellStyle name="Comma 51 3" xfId="3195"/>
    <cellStyle name="Comma 52" xfId="1074"/>
    <cellStyle name="Comma 52 2" xfId="1075"/>
    <cellStyle name="Comma 52 3" xfId="3196"/>
    <cellStyle name="Comma 58" xfId="1076"/>
    <cellStyle name="Comma 58 2" xfId="1077"/>
    <cellStyle name="Comma 58 3" xfId="3197"/>
    <cellStyle name="Comma 59" xfId="1078"/>
    <cellStyle name="Comma 59 2" xfId="1079"/>
    <cellStyle name="Comma 59 3" xfId="3198"/>
    <cellStyle name="Comma 6" xfId="1080"/>
    <cellStyle name="Comma 6 2" xfId="1081"/>
    <cellStyle name="Comma 6 2 2" xfId="1082"/>
    <cellStyle name="Comma 6 2 3" xfId="3200"/>
    <cellStyle name="Comma 6 3" xfId="3199"/>
    <cellStyle name="Comma 62" xfId="1083"/>
    <cellStyle name="Comma 62 2" xfId="1084"/>
    <cellStyle name="Comma 62 3" xfId="3201"/>
    <cellStyle name="Comma 63" xfId="1085"/>
    <cellStyle name="Comma 63 2" xfId="1086"/>
    <cellStyle name="Comma 63 3" xfId="3202"/>
    <cellStyle name="Comma 66" xfId="1087"/>
    <cellStyle name="Comma 66 2" xfId="3203"/>
    <cellStyle name="Comma 67" xfId="1088"/>
    <cellStyle name="Comma 67 2" xfId="1089"/>
    <cellStyle name="Comma 67 3" xfId="3204"/>
    <cellStyle name="Comma 7" xfId="1090"/>
    <cellStyle name="Comma 7 2" xfId="1091"/>
    <cellStyle name="Comma 7 2 2" xfId="1092"/>
    <cellStyle name="Comma 7 2 3" xfId="3206"/>
    <cellStyle name="Comma 7 3" xfId="1093"/>
    <cellStyle name="Comma 7 3 2" xfId="1094"/>
    <cellStyle name="Comma 7 3 3" xfId="3207"/>
    <cellStyle name="Comma 7 4" xfId="3205"/>
    <cellStyle name="Comma 72" xfId="1095"/>
    <cellStyle name="Comma 72 2" xfId="3208"/>
    <cellStyle name="Comma 74" xfId="1096"/>
    <cellStyle name="Comma 74 2" xfId="1097"/>
    <cellStyle name="Comma 74 3" xfId="3209"/>
    <cellStyle name="Comma 75" xfId="1098"/>
    <cellStyle name="Comma 75 2" xfId="1099"/>
    <cellStyle name="Comma 75 3" xfId="3210"/>
    <cellStyle name="Comma 8" xfId="1100"/>
    <cellStyle name="Comma 8 2" xfId="1101"/>
    <cellStyle name="Comma 8 2 2" xfId="1102"/>
    <cellStyle name="Comma 8 2 2 2" xfId="1103"/>
    <cellStyle name="Comma 8 2 2 3" xfId="3213"/>
    <cellStyle name="Comma 8 2 3" xfId="1104"/>
    <cellStyle name="Comma 8 2 4" xfId="3212"/>
    <cellStyle name="Comma 8 3" xfId="1105"/>
    <cellStyle name="Comma 8 4" xfId="3211"/>
    <cellStyle name="Comma 82" xfId="1106"/>
    <cellStyle name="Comma 82 2" xfId="1107"/>
    <cellStyle name="Comma 82 3" xfId="3214"/>
    <cellStyle name="Comma 83" xfId="1108"/>
    <cellStyle name="Comma 83 2" xfId="1109"/>
    <cellStyle name="Comma 83 3" xfId="3215"/>
    <cellStyle name="Comma 85" xfId="1110"/>
    <cellStyle name="Comma 85 2" xfId="1111"/>
    <cellStyle name="Comma 85 3" xfId="3216"/>
    <cellStyle name="Comma 86" xfId="1112"/>
    <cellStyle name="Comma 86 2" xfId="1113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 4" xfId="269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5" xfId="2692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4" xfId="3260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8" xfId="326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4" xfId="3291"/>
    <cellStyle name="Note 16_TRAFO" xfId="2126"/>
    <cellStyle name="Note 17" xfId="2127"/>
    <cellStyle name="Note 17 2" xfId="2128"/>
    <cellStyle name="Note 17 2 2" xfId="2129"/>
    <cellStyle name="Note 17 3" xfId="2130"/>
    <cellStyle name="Note 17 4" xfId="3292"/>
    <cellStyle name="Note 17_TRAFO" xfId="2131"/>
    <cellStyle name="Note 18" xfId="2132"/>
    <cellStyle name="Note 18 2" xfId="2133"/>
    <cellStyle name="Note 18 2 2" xfId="2134"/>
    <cellStyle name="Note 18 3" xfId="2135"/>
    <cellStyle name="Note 18 4" xfId="3293"/>
    <cellStyle name="Note 18_TRAFO" xfId="2136"/>
    <cellStyle name="Note 19" xfId="2137"/>
    <cellStyle name="Note 19 2" xfId="2138"/>
    <cellStyle name="Note 19 2 2" xfId="2139"/>
    <cellStyle name="Note 19 3" xfId="2140"/>
    <cellStyle name="Note 19 4" xfId="3294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4" xfId="3295"/>
    <cellStyle name="Note 20_TRAFO" xfId="2153"/>
    <cellStyle name="Note 21" xfId="2154"/>
    <cellStyle name="Note 21 2" xfId="2155"/>
    <cellStyle name="Note 21 2 2" xfId="2156"/>
    <cellStyle name="Note 21 3" xfId="2157"/>
    <cellStyle name="Note 21 4" xfId="3296"/>
    <cellStyle name="Note 21_TRAFO" xfId="2158"/>
    <cellStyle name="Note 22" xfId="2159"/>
    <cellStyle name="Note 22 2" xfId="2160"/>
    <cellStyle name="Note 22 2 2" xfId="2161"/>
    <cellStyle name="Note 22 3" xfId="2162"/>
    <cellStyle name="Note 22 4" xfId="3297"/>
    <cellStyle name="Note 22_TRAFO" xfId="2163"/>
    <cellStyle name="Note 23" xfId="2164"/>
    <cellStyle name="Note 23 2" xfId="2165"/>
    <cellStyle name="Note 23 2 2" xfId="2166"/>
    <cellStyle name="Note 23 3" xfId="2167"/>
    <cellStyle name="Note 23 4" xfId="3298"/>
    <cellStyle name="Note 23_TRAFO" xfId="2168"/>
    <cellStyle name="Note 24" xfId="2169"/>
    <cellStyle name="Note 24 2" xfId="2170"/>
    <cellStyle name="Note 24 2 2" xfId="2171"/>
    <cellStyle name="Note 24 3" xfId="2172"/>
    <cellStyle name="Note 24 4" xfId="3299"/>
    <cellStyle name="Note 24_TRAFO" xfId="2173"/>
    <cellStyle name="Note 25" xfId="2174"/>
    <cellStyle name="Note 25 2" xfId="2175"/>
    <cellStyle name="Note 25 2 2" xfId="2176"/>
    <cellStyle name="Note 25 3" xfId="2177"/>
    <cellStyle name="Note 25 4" xfId="3300"/>
    <cellStyle name="Note 25_TRAFO" xfId="2178"/>
    <cellStyle name="Note 26" xfId="2179"/>
    <cellStyle name="Note 26 2" xfId="2180"/>
    <cellStyle name="Note 26 2 2" xfId="2181"/>
    <cellStyle name="Note 26 3" xfId="2182"/>
    <cellStyle name="Note 26 4" xfId="3301"/>
    <cellStyle name="Note 26_TRAFO" xfId="2183"/>
    <cellStyle name="Note 27" xfId="2184"/>
    <cellStyle name="Note 27 2" xfId="2185"/>
    <cellStyle name="Note 27 2 2" xfId="2186"/>
    <cellStyle name="Note 27 3" xfId="2187"/>
    <cellStyle name="Note 27 4" xfId="3302"/>
    <cellStyle name="Note 27_TRAFO" xfId="2188"/>
    <cellStyle name="Note 28" xfId="2189"/>
    <cellStyle name="Note 28 2" xfId="2190"/>
    <cellStyle name="Note 28 2 2" xfId="2191"/>
    <cellStyle name="Note 28 3" xfId="2192"/>
    <cellStyle name="Note 28 4" xfId="3303"/>
    <cellStyle name="Note 28_TRAFO" xfId="2193"/>
    <cellStyle name="Note 29" xfId="2194"/>
    <cellStyle name="Note 29 2" xfId="2195"/>
    <cellStyle name="Note 29 2 2" xfId="2196"/>
    <cellStyle name="Note 29 3" xfId="2197"/>
    <cellStyle name="Note 29 4" xfId="3304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4" xfId="3305"/>
    <cellStyle name="Note 30_TRAFO" xfId="2208"/>
    <cellStyle name="Note 31" xfId="2209"/>
    <cellStyle name="Note 31 2" xfId="2210"/>
    <cellStyle name="Note 31 2 2" xfId="2211"/>
    <cellStyle name="Note 31 3" xfId="2212"/>
    <cellStyle name="Note 31 4" xfId="3306"/>
    <cellStyle name="Note 31_TRAFO" xfId="2213"/>
    <cellStyle name="Note 32" xfId="2214"/>
    <cellStyle name="Note 32 2" xfId="2215"/>
    <cellStyle name="Note 32 2 2" xfId="2216"/>
    <cellStyle name="Note 32 3" xfId="2217"/>
    <cellStyle name="Note 32 4" xfId="3307"/>
    <cellStyle name="Note 32_TRAFO" xfId="2218"/>
    <cellStyle name="Note 33" xfId="2219"/>
    <cellStyle name="Note 33 2" xfId="2220"/>
    <cellStyle name="Note 33 2 2" xfId="2221"/>
    <cellStyle name="Note 33 3" xfId="2222"/>
    <cellStyle name="Note 33 4" xfId="3308"/>
    <cellStyle name="Note 33_TRAFO" xfId="2223"/>
    <cellStyle name="Note 34" xfId="2224"/>
    <cellStyle name="Note 34 2" xfId="2225"/>
    <cellStyle name="Note 34 2 2" xfId="2226"/>
    <cellStyle name="Note 34 3" xfId="2227"/>
    <cellStyle name="Note 34 4" xfId="3309"/>
    <cellStyle name="Note 34_TRAFO" xfId="2228"/>
    <cellStyle name="Note 35" xfId="2229"/>
    <cellStyle name="Note 35 2" xfId="2230"/>
    <cellStyle name="Note 35 2 2" xfId="2231"/>
    <cellStyle name="Note 35 3" xfId="2232"/>
    <cellStyle name="Note 35 4" xfId="3310"/>
    <cellStyle name="Note 35_TRAFO" xfId="2233"/>
    <cellStyle name="Note 36" xfId="2234"/>
    <cellStyle name="Note 36 2" xfId="2235"/>
    <cellStyle name="Note 36 2 2" xfId="2236"/>
    <cellStyle name="Note 36 3" xfId="2237"/>
    <cellStyle name="Note 36 4" xfId="3311"/>
    <cellStyle name="Note 36_TRAFO" xfId="2238"/>
    <cellStyle name="Note 37" xfId="2239"/>
    <cellStyle name="Note 37 2" xfId="2240"/>
    <cellStyle name="Note 37 2 2" xfId="2241"/>
    <cellStyle name="Note 37 3" xfId="2242"/>
    <cellStyle name="Note 37 4" xfId="3312"/>
    <cellStyle name="Note 37_TRAFO" xfId="2243"/>
    <cellStyle name="Note 38" xfId="2244"/>
    <cellStyle name="Note 38 2" xfId="2245"/>
    <cellStyle name="Note 38 2 2" xfId="2246"/>
    <cellStyle name="Note 38 3" xfId="2247"/>
    <cellStyle name="Note 38 4" xfId="3313"/>
    <cellStyle name="Note 38_TRAFO" xfId="2248"/>
    <cellStyle name="Note 39" xfId="2249"/>
    <cellStyle name="Note 39 2" xfId="2250"/>
    <cellStyle name="Note 39 2 2" xfId="2251"/>
    <cellStyle name="Note 39 3" xfId="2252"/>
    <cellStyle name="Note 39 4" xfId="3314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4" xfId="3315"/>
    <cellStyle name="Note 40_TRAFO" xfId="2263"/>
    <cellStyle name="Note 41" xfId="2264"/>
    <cellStyle name="Note 41 2" xfId="2265"/>
    <cellStyle name="Note 41 2 2" xfId="2266"/>
    <cellStyle name="Note 41 3" xfId="2267"/>
    <cellStyle name="Note 41 4" xfId="3316"/>
    <cellStyle name="Note 41_TRAFO" xfId="2268"/>
    <cellStyle name="Note 42" xfId="2269"/>
    <cellStyle name="Note 42 2" xfId="2270"/>
    <cellStyle name="Note 42 2 2" xfId="2271"/>
    <cellStyle name="Note 42 3" xfId="2272"/>
    <cellStyle name="Note 42 4" xfId="3317"/>
    <cellStyle name="Note 42_TRAFO" xfId="2273"/>
    <cellStyle name="Note 43" xfId="2274"/>
    <cellStyle name="Note 43 2" xfId="2275"/>
    <cellStyle name="Note 43 2 2" xfId="2276"/>
    <cellStyle name="Note 43 3" xfId="2277"/>
    <cellStyle name="Note 43 4" xfId="3318"/>
    <cellStyle name="Note 43_TRAFO" xfId="2278"/>
    <cellStyle name="Note 44" xfId="2279"/>
    <cellStyle name="Note 44 2" xfId="2280"/>
    <cellStyle name="Note 44 2 2" xfId="2281"/>
    <cellStyle name="Note 44 3" xfId="2282"/>
    <cellStyle name="Note 44 4" xfId="3319"/>
    <cellStyle name="Note 44_TRAFO" xfId="2283"/>
    <cellStyle name="Note 45" xfId="2284"/>
    <cellStyle name="Note 45 2" xfId="2285"/>
    <cellStyle name="Note 45 2 2" xfId="2286"/>
    <cellStyle name="Note 45 3" xfId="2287"/>
    <cellStyle name="Note 45 4" xfId="3320"/>
    <cellStyle name="Note 45_TRAFO" xfId="2288"/>
    <cellStyle name="Note 46" xfId="2289"/>
    <cellStyle name="Note 46 2" xfId="2290"/>
    <cellStyle name="Note 46 2 2" xfId="2291"/>
    <cellStyle name="Note 46 3" xfId="2292"/>
    <cellStyle name="Note 46 4" xfId="3321"/>
    <cellStyle name="Note 46_TRAFO" xfId="2293"/>
    <cellStyle name="Note 47" xfId="2294"/>
    <cellStyle name="Note 47 2" xfId="2295"/>
    <cellStyle name="Note 47 2 2" xfId="2296"/>
    <cellStyle name="Note 47 3" xfId="2297"/>
    <cellStyle name="Note 47 4" xfId="3322"/>
    <cellStyle name="Note 47_TRAFO" xfId="2298"/>
    <cellStyle name="Note 48" xfId="2299"/>
    <cellStyle name="Note 48 2" xfId="2300"/>
    <cellStyle name="Note 48 2 2" xfId="2301"/>
    <cellStyle name="Note 48 3" xfId="2302"/>
    <cellStyle name="Note 48 4" xfId="3323"/>
    <cellStyle name="Note 48_TRAFO" xfId="2303"/>
    <cellStyle name="Note 49" xfId="2304"/>
    <cellStyle name="Note 49 2" xfId="2305"/>
    <cellStyle name="Note 49 2 2" xfId="2306"/>
    <cellStyle name="Note 49 3" xfId="2307"/>
    <cellStyle name="Note 49 4" xfId="3324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4" xfId="3325"/>
    <cellStyle name="Note 50_TRAFO" xfId="2318"/>
    <cellStyle name="Note 51" xfId="2319"/>
    <cellStyle name="Note 51 2" xfId="2320"/>
    <cellStyle name="Note 51 2 2" xfId="2321"/>
    <cellStyle name="Note 51 3" xfId="2322"/>
    <cellStyle name="Note 51 4" xfId="3326"/>
    <cellStyle name="Note 51_TRAFO" xfId="2323"/>
    <cellStyle name="Note 52" xfId="2324"/>
    <cellStyle name="Note 52 2" xfId="2325"/>
    <cellStyle name="Note 52 2 2" xfId="2326"/>
    <cellStyle name="Note 52 3" xfId="2327"/>
    <cellStyle name="Note 52 4" xfId="3327"/>
    <cellStyle name="Note 52_TRAFO" xfId="2328"/>
    <cellStyle name="Note 53" xfId="2329"/>
    <cellStyle name="Note 53 2" xfId="2330"/>
    <cellStyle name="Note 53 2 2" xfId="2331"/>
    <cellStyle name="Note 53 3" xfId="2332"/>
    <cellStyle name="Note 53 4" xfId="3328"/>
    <cellStyle name="Note 53_TRAFO" xfId="2333"/>
    <cellStyle name="Note 54" xfId="2334"/>
    <cellStyle name="Note 54 2" xfId="2335"/>
    <cellStyle name="Note 54 2 2" xfId="2336"/>
    <cellStyle name="Note 54 3" xfId="2337"/>
    <cellStyle name="Note 54 4" xfId="3329"/>
    <cellStyle name="Note 54_TRAFO" xfId="2338"/>
    <cellStyle name="Note 55" xfId="2339"/>
    <cellStyle name="Note 55 2" xfId="2340"/>
    <cellStyle name="Note 55 2 2" xfId="2341"/>
    <cellStyle name="Note 55 3" xfId="2342"/>
    <cellStyle name="Note 55 4" xfId="3330"/>
    <cellStyle name="Note 55_TRAFO" xfId="2343"/>
    <cellStyle name="Note 56" xfId="2344"/>
    <cellStyle name="Note 56 2" xfId="2345"/>
    <cellStyle name="Note 56 2 2" xfId="2346"/>
    <cellStyle name="Note 56 3" xfId="2347"/>
    <cellStyle name="Note 56 4" xfId="3331"/>
    <cellStyle name="Note 56_TRAFO" xfId="2348"/>
    <cellStyle name="Note 57" xfId="2349"/>
    <cellStyle name="Note 57 2" xfId="2350"/>
    <cellStyle name="Note 57 2 2" xfId="2351"/>
    <cellStyle name="Note 57 3" xfId="2352"/>
    <cellStyle name="Note 57 4" xfId="3332"/>
    <cellStyle name="Note 57_TRAFO" xfId="2353"/>
    <cellStyle name="Note 58" xfId="2354"/>
    <cellStyle name="Note 58 2" xfId="2355"/>
    <cellStyle name="Note 58 2 2" xfId="2356"/>
    <cellStyle name="Note 58 3" xfId="2357"/>
    <cellStyle name="Note 58 4" xfId="3333"/>
    <cellStyle name="Note 58_TRAFO" xfId="2358"/>
    <cellStyle name="Note 59" xfId="2359"/>
    <cellStyle name="Note 59 2" xfId="2360"/>
    <cellStyle name="Note 59 2 2" xfId="2361"/>
    <cellStyle name="Note 59 3" xfId="2362"/>
    <cellStyle name="Note 59 4" xfId="3334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4" xfId="3335"/>
    <cellStyle name="Note 60_TRAFO" xfId="2373"/>
    <cellStyle name="Note 61" xfId="2374"/>
    <cellStyle name="Note 61 2" xfId="2375"/>
    <cellStyle name="Note 61 2 2" xfId="2376"/>
    <cellStyle name="Note 61 3" xfId="2377"/>
    <cellStyle name="Note 61 4" xfId="3336"/>
    <cellStyle name="Note 61_TRAFO" xfId="2378"/>
    <cellStyle name="Note 62" xfId="2379"/>
    <cellStyle name="Note 62 2" xfId="2380"/>
    <cellStyle name="Note 62 2 2" xfId="2381"/>
    <cellStyle name="Note 62 3" xfId="2382"/>
    <cellStyle name="Note 62 4" xfId="3337"/>
    <cellStyle name="Note 62_TRAFO" xfId="2383"/>
    <cellStyle name="Note 63" xfId="2384"/>
    <cellStyle name="Note 63 2" xfId="2385"/>
    <cellStyle name="Note 63 2 2" xfId="2386"/>
    <cellStyle name="Note 63 3" xfId="2387"/>
    <cellStyle name="Note 63 4" xfId="3338"/>
    <cellStyle name="Note 63_TRAFO" xfId="2388"/>
    <cellStyle name="Note 64" xfId="2389"/>
    <cellStyle name="Note 64 2" xfId="2390"/>
    <cellStyle name="Note 64 2 2" xfId="2391"/>
    <cellStyle name="Note 64 3" xfId="2392"/>
    <cellStyle name="Note 64 4" xfId="3339"/>
    <cellStyle name="Note 64_TRAFO" xfId="2393"/>
    <cellStyle name="Note 65" xfId="2394"/>
    <cellStyle name="Note 65 2" xfId="2395"/>
    <cellStyle name="Note 65 2 2" xfId="2396"/>
    <cellStyle name="Note 65 3" xfId="2397"/>
    <cellStyle name="Note 65 4" xfId="3340"/>
    <cellStyle name="Note 65_TRAFO" xfId="2398"/>
    <cellStyle name="Note 66" xfId="2399"/>
    <cellStyle name="Note 66 2" xfId="2400"/>
    <cellStyle name="Note 66 2 2" xfId="2401"/>
    <cellStyle name="Note 66 3" xfId="2402"/>
    <cellStyle name="Note 66 4" xfId="3341"/>
    <cellStyle name="Note 66_TRAFO" xfId="2403"/>
    <cellStyle name="Note 67" xfId="2404"/>
    <cellStyle name="Note 67 2" xfId="2405"/>
    <cellStyle name="Note 67 2 2" xfId="2406"/>
    <cellStyle name="Note 67 3" xfId="2407"/>
    <cellStyle name="Note 67 4" xfId="3342"/>
    <cellStyle name="Note 67_TRAFO" xfId="2408"/>
    <cellStyle name="Note 68" xfId="2409"/>
    <cellStyle name="Note 68 2" xfId="2410"/>
    <cellStyle name="Note 68 2 2" xfId="2411"/>
    <cellStyle name="Note 68 3" xfId="2412"/>
    <cellStyle name="Note 68 4" xfId="3343"/>
    <cellStyle name="Note 68_TRAFO" xfId="2413"/>
    <cellStyle name="Note 69" xfId="2414"/>
    <cellStyle name="Note 69 2" xfId="2415"/>
    <cellStyle name="Note 69 2 2" xfId="2416"/>
    <cellStyle name="Note 69 3" xfId="2417"/>
    <cellStyle name="Note 69 4" xfId="3344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4" xfId="3345"/>
    <cellStyle name="Note 70_TRAFO" xfId="2428"/>
    <cellStyle name="Note 71" xfId="2429"/>
    <cellStyle name="Note 71 2" xfId="2430"/>
    <cellStyle name="Note 71 2 2" xfId="2431"/>
    <cellStyle name="Note 71 3" xfId="2432"/>
    <cellStyle name="Note 71 4" xfId="3346"/>
    <cellStyle name="Note 71_TRAFO" xfId="2433"/>
    <cellStyle name="Note 72" xfId="2434"/>
    <cellStyle name="Note 72 2" xfId="2435"/>
    <cellStyle name="Note 72 2 2" xfId="2436"/>
    <cellStyle name="Note 72 3" xfId="2437"/>
    <cellStyle name="Note 72 4" xfId="3347"/>
    <cellStyle name="Note 72_TRAFO" xfId="2438"/>
    <cellStyle name="Note 73" xfId="2439"/>
    <cellStyle name="Note 73 2" xfId="2440"/>
    <cellStyle name="Note 73 2 2" xfId="2441"/>
    <cellStyle name="Note 73 3" xfId="2442"/>
    <cellStyle name="Note 73 4" xfId="3348"/>
    <cellStyle name="Note 73_TRAFO" xfId="2443"/>
    <cellStyle name="Note 74" xfId="2444"/>
    <cellStyle name="Note 74 2" xfId="2445"/>
    <cellStyle name="Note 74 2 2" xfId="2446"/>
    <cellStyle name="Note 74 3" xfId="2447"/>
    <cellStyle name="Note 74 4" xfId="3349"/>
    <cellStyle name="Note 74_TRAFO" xfId="2448"/>
    <cellStyle name="Note 75" xfId="2449"/>
    <cellStyle name="Note 75 2" xfId="2450"/>
    <cellStyle name="Note 75 2 2" xfId="2451"/>
    <cellStyle name="Note 75 3" xfId="2452"/>
    <cellStyle name="Note 75 4" xfId="3350"/>
    <cellStyle name="Note 75_TRAFO" xfId="2453"/>
    <cellStyle name="Note 76" xfId="2454"/>
    <cellStyle name="Note 76 2" xfId="2455"/>
    <cellStyle name="Note 76 2 2" xfId="2456"/>
    <cellStyle name="Note 76 3" xfId="2457"/>
    <cellStyle name="Note 76 4" xfId="3351"/>
    <cellStyle name="Note 76_TRAFO" xfId="2458"/>
    <cellStyle name="Note 77" xfId="2459"/>
    <cellStyle name="Note 77 2" xfId="2460"/>
    <cellStyle name="Note 77 2 2" xfId="2461"/>
    <cellStyle name="Note 77 3" xfId="2462"/>
    <cellStyle name="Note 77 4" xfId="3352"/>
    <cellStyle name="Note 77_TRAFO" xfId="2463"/>
    <cellStyle name="Note 78" xfId="2464"/>
    <cellStyle name="Note 78 2" xfId="2465"/>
    <cellStyle name="Note 78 2 2" xfId="2466"/>
    <cellStyle name="Note 78 3" xfId="2467"/>
    <cellStyle name="Note 78 4" xfId="335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bt2 3" xfId="3386"/>
    <cellStyle name="subt1" xfId="2589"/>
    <cellStyle name="subt1 2" xfId="2590"/>
    <cellStyle name="subt1 3" xfId="3387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0.3203139293464044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4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4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88</xdr:row>
      <xdr:rowOff>81642</xdr:rowOff>
    </xdr:from>
    <xdr:to>
      <xdr:col>12</xdr:col>
      <xdr:colOff>41108</xdr:colOff>
      <xdr:row>91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4880" y="816019"/>
          <a:ext cx="1483667" cy="1855615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136151</xdr:colOff>
      <xdr:row>26</xdr:row>
      <xdr:rowOff>134471</xdr:rowOff>
    </xdr:from>
    <xdr:to>
      <xdr:col>18</xdr:col>
      <xdr:colOff>134470</xdr:colOff>
      <xdr:row>28</xdr:row>
      <xdr:rowOff>79498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AC698F5-3634-FC17-EFF9-F0273499335C}"/>
            </a:ext>
          </a:extLst>
        </xdr:cNvPr>
        <xdr:cNvSpPr/>
      </xdr:nvSpPr>
      <xdr:spPr>
        <a:xfrm>
          <a:off x="1211916" y="4213412"/>
          <a:ext cx="5332319" cy="258792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17</xdr:col>
      <xdr:colOff>270504</xdr:colOff>
      <xdr:row>16</xdr:row>
      <xdr:rowOff>3960</xdr:rowOff>
    </xdr:from>
    <xdr:to>
      <xdr:col>18</xdr:col>
      <xdr:colOff>112058</xdr:colOff>
      <xdr:row>37</xdr:row>
      <xdr:rowOff>22415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A329C85-6A66-2C6C-80A4-B46D97846ACD}"/>
            </a:ext>
          </a:extLst>
        </xdr:cNvPr>
        <xdr:cNvSpPr/>
      </xdr:nvSpPr>
      <xdr:spPr>
        <a:xfrm rot="5400000">
          <a:off x="4759657" y="4053690"/>
          <a:ext cx="3301778" cy="22255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17</xdr:col>
      <xdr:colOff>120126</xdr:colOff>
      <xdr:row>31</xdr:row>
      <xdr:rowOff>17841</xdr:rowOff>
    </xdr:from>
    <xdr:to>
      <xdr:col>17</xdr:col>
      <xdr:colOff>248984</xdr:colOff>
      <xdr:row>31</xdr:row>
      <xdr:rowOff>133154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31944973-2B41-77F3-68CE-B724916E7D5A}"/>
            </a:ext>
          </a:extLst>
        </xdr:cNvPr>
        <xdr:cNvGrpSpPr>
          <a:grpSpLocks/>
        </xdr:cNvGrpSpPr>
      </xdr:nvGrpSpPr>
      <xdr:grpSpPr bwMode="auto">
        <a:xfrm>
          <a:off x="6148891" y="4869988"/>
          <a:ext cx="128858" cy="11531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C17C1C0F-5586-2C9E-0E22-AFADE0BC86B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ADAF2A4-9C13-B78C-EDD2-2D467075B945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28B88819-FD52-E593-6C5C-821456D111B3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13625</xdr:colOff>
      <xdr:row>25</xdr:row>
      <xdr:rowOff>125560</xdr:rowOff>
    </xdr:from>
    <xdr:to>
      <xdr:col>16</xdr:col>
      <xdr:colOff>295513</xdr:colOff>
      <xdr:row>25</xdr:row>
      <xdr:rowOff>154098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1552A9A-3EFC-49BC-07E9-FB47EEC2DE4A}"/>
            </a:ext>
          </a:extLst>
        </xdr:cNvPr>
        <xdr:cNvCxnSpPr>
          <a:stCxn id="96" idx="6"/>
          <a:endCxn id="99" idx="6"/>
        </xdr:cNvCxnSpPr>
      </xdr:nvCxnSpPr>
      <xdr:spPr>
        <a:xfrm>
          <a:off x="4137390" y="4047619"/>
          <a:ext cx="1805888" cy="285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169232</xdr:colOff>
      <xdr:row>25</xdr:row>
      <xdr:rowOff>97876</xdr:rowOff>
    </xdr:from>
    <xdr:to>
      <xdr:col>16</xdr:col>
      <xdr:colOff>295513</xdr:colOff>
      <xdr:row>26</xdr:row>
      <xdr:rowOff>53437</xdr:rowOff>
    </xdr:to>
    <xdr:grpSp>
      <xdr:nvGrpSpPr>
        <xdr:cNvPr id="37" name="Group 682">
          <a:extLst>
            <a:ext uri="{FF2B5EF4-FFF2-40B4-BE49-F238E27FC236}">
              <a16:creationId xmlns:a16="http://schemas.microsoft.com/office/drawing/2014/main" id="{4A8EB2A4-FD23-F31B-52E0-2F30AD77D49F}"/>
            </a:ext>
          </a:extLst>
        </xdr:cNvPr>
        <xdr:cNvGrpSpPr>
          <a:grpSpLocks/>
        </xdr:cNvGrpSpPr>
      </xdr:nvGrpSpPr>
      <xdr:grpSpPr bwMode="auto">
        <a:xfrm>
          <a:off x="5816997" y="4019935"/>
          <a:ext cx="126281" cy="11244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40784C85-FCF4-1408-34BC-BA777707843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1EC437B1-9B7E-C5DB-DAA9-1106C7982F70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0CEAE7D8-712A-D9E4-0C2B-CCF23A75C017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270763</xdr:colOff>
      <xdr:row>25</xdr:row>
      <xdr:rowOff>69338</xdr:rowOff>
    </xdr:from>
    <xdr:to>
      <xdr:col>12</xdr:col>
      <xdr:colOff>13625</xdr:colOff>
      <xdr:row>26</xdr:row>
      <xdr:rowOff>24899</xdr:rowOff>
    </xdr:to>
    <xdr:grpSp>
      <xdr:nvGrpSpPr>
        <xdr:cNvPr id="38" name="Group 682">
          <a:extLst>
            <a:ext uri="{FF2B5EF4-FFF2-40B4-BE49-F238E27FC236}">
              <a16:creationId xmlns:a16="http://schemas.microsoft.com/office/drawing/2014/main" id="{BC5CB759-F730-E691-7B07-DDF6F8629764}"/>
            </a:ext>
          </a:extLst>
        </xdr:cNvPr>
        <xdr:cNvGrpSpPr>
          <a:grpSpLocks/>
        </xdr:cNvGrpSpPr>
      </xdr:nvGrpSpPr>
      <xdr:grpSpPr bwMode="auto">
        <a:xfrm>
          <a:off x="4013528" y="3991397"/>
          <a:ext cx="123862" cy="112443"/>
          <a:chOff x="3494882" y="6020720"/>
          <a:chExt cx="153760" cy="144236"/>
        </a:xfrm>
        <a:noFill/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7A7A008F-7EB5-8EF9-3FF7-4155BA3835A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C6181118-2F2B-64B7-5395-EC8054CF7E6A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E260EC2E-BA62-FB7E-AA4C-E49E9DFB5C42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232373</xdr:colOff>
      <xdr:row>26</xdr:row>
      <xdr:rowOff>53437</xdr:rowOff>
    </xdr:from>
    <xdr:to>
      <xdr:col>17</xdr:col>
      <xdr:colOff>138997</xdr:colOff>
      <xdr:row>31</xdr:row>
      <xdr:rowOff>116267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A024F679-6C9A-E96A-9E9E-A037AF06ED5F}"/>
            </a:ext>
          </a:extLst>
        </xdr:cNvPr>
        <xdr:cNvCxnSpPr>
          <a:stCxn id="102" idx="3"/>
          <a:endCxn id="99" idx="4"/>
        </xdr:cNvCxnSpPr>
      </xdr:nvCxnSpPr>
      <xdr:spPr>
        <a:xfrm flipH="1" flipV="1">
          <a:off x="5880138" y="4132378"/>
          <a:ext cx="287624" cy="8360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156882</xdr:colOff>
      <xdr:row>16</xdr:row>
      <xdr:rowOff>56029</xdr:rowOff>
    </xdr:from>
    <xdr:to>
      <xdr:col>17</xdr:col>
      <xdr:colOff>168088</xdr:colOff>
      <xdr:row>34</xdr:row>
      <xdr:rowOff>67235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3FDA80C3-3B3F-E724-DD63-DA5DB1B31AEA}"/>
            </a:ext>
          </a:extLst>
        </xdr:cNvPr>
        <xdr:cNvCxnSpPr/>
      </xdr:nvCxnSpPr>
      <xdr:spPr>
        <a:xfrm>
          <a:off x="6185647" y="2566147"/>
          <a:ext cx="11206" cy="28238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111275</xdr:colOff>
      <xdr:row>23</xdr:row>
      <xdr:rowOff>76519</xdr:rowOff>
    </xdr:from>
    <xdr:to>
      <xdr:col>17</xdr:col>
      <xdr:colOff>237353</xdr:colOff>
      <xdr:row>24</xdr:row>
      <xdr:rowOff>40680</xdr:rowOff>
    </xdr:to>
    <xdr:grpSp>
      <xdr:nvGrpSpPr>
        <xdr:cNvPr id="46" name="Group 682">
          <a:extLst>
            <a:ext uri="{FF2B5EF4-FFF2-40B4-BE49-F238E27FC236}">
              <a16:creationId xmlns:a16="http://schemas.microsoft.com/office/drawing/2014/main" id="{EADBD571-52F0-92FF-CEBA-FFD9DAA1C2DF}"/>
            </a:ext>
          </a:extLst>
        </xdr:cNvPr>
        <xdr:cNvGrpSpPr>
          <a:grpSpLocks/>
        </xdr:cNvGrpSpPr>
      </xdr:nvGrpSpPr>
      <xdr:grpSpPr bwMode="auto">
        <a:xfrm>
          <a:off x="6140040" y="3684813"/>
          <a:ext cx="126078" cy="12104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6FD01B9A-0270-3D0A-A6BA-04EB09221A1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BFEFB94A-3802-4144-0424-F196482D1D4D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5EC9E3D4-177F-3DB4-D4D4-AD21F031704F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34155</xdr:colOff>
      <xdr:row>25</xdr:row>
      <xdr:rowOff>73980</xdr:rowOff>
    </xdr:from>
    <xdr:to>
      <xdr:col>14</xdr:col>
      <xdr:colOff>224655</xdr:colOff>
      <xdr:row>26</xdr:row>
      <xdr:rowOff>9627</xdr:rowOff>
    </xdr:to>
    <xdr:grpSp>
      <xdr:nvGrpSpPr>
        <xdr:cNvPr id="47" name="Group 28">
          <a:extLst>
            <a:ext uri="{FF2B5EF4-FFF2-40B4-BE49-F238E27FC236}">
              <a16:creationId xmlns:a16="http://schemas.microsoft.com/office/drawing/2014/main" id="{EC22D6F1-F845-9E1B-4FFF-408C6EEF46B6}"/>
            </a:ext>
          </a:extLst>
        </xdr:cNvPr>
        <xdr:cNvGrpSpPr>
          <a:grpSpLocks/>
        </xdr:cNvGrpSpPr>
      </xdr:nvGrpSpPr>
      <xdr:grpSpPr bwMode="auto">
        <a:xfrm>
          <a:off x="4919920" y="3996039"/>
          <a:ext cx="190500" cy="92529"/>
          <a:chOff x="12267508" y="2212225"/>
          <a:chExt cx="192931" cy="101137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60D145E1-460C-8765-FE30-2B81F43E988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1F107B93-25A0-E875-4055-9659594C9F2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C66F0321-91A4-D939-9D96-450F986FC8B1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9421A89A-4BF0-EA86-B07C-7E4F4652494D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121812</xdr:colOff>
      <xdr:row>26</xdr:row>
      <xdr:rowOff>19565</xdr:rowOff>
    </xdr:from>
    <xdr:to>
      <xdr:col>17</xdr:col>
      <xdr:colOff>210876</xdr:colOff>
      <xdr:row>27</xdr:row>
      <xdr:rowOff>53182</xdr:rowOff>
    </xdr:to>
    <xdr:grpSp>
      <xdr:nvGrpSpPr>
        <xdr:cNvPr id="48" name="Group 28">
          <a:extLst>
            <a:ext uri="{FF2B5EF4-FFF2-40B4-BE49-F238E27FC236}">
              <a16:creationId xmlns:a16="http://schemas.microsoft.com/office/drawing/2014/main" id="{6FAFDAF7-45DB-8292-A411-4F6C65A766DF}"/>
            </a:ext>
          </a:extLst>
        </xdr:cNvPr>
        <xdr:cNvGrpSpPr>
          <a:grpSpLocks/>
        </xdr:cNvGrpSpPr>
      </xdr:nvGrpSpPr>
      <xdr:grpSpPr bwMode="auto">
        <a:xfrm rot="5400000">
          <a:off x="6099859" y="4149224"/>
          <a:ext cx="190500" cy="89064"/>
          <a:chOff x="12267508" y="2212225"/>
          <a:chExt cx="192931" cy="101137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51D5C112-D19B-3C47-6C1B-AD66D743BC6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779549D-C6DC-58DF-9FCA-CADDD53CB449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5DF6C7A8-BDE6-E318-3B5A-CE826E90EDF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D3164A03-14F3-8444-E502-E4AEDAF7ED2F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150719</xdr:colOff>
      <xdr:row>25</xdr:row>
      <xdr:rowOff>119342</xdr:rowOff>
    </xdr:from>
    <xdr:to>
      <xdr:col>11</xdr:col>
      <xdr:colOff>270763</xdr:colOff>
      <xdr:row>25</xdr:row>
      <xdr:rowOff>125560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4D085758-F595-DEC8-A7D5-AEB2D27CD42E}"/>
            </a:ext>
          </a:extLst>
        </xdr:cNvPr>
        <xdr:cNvCxnSpPr>
          <a:stCxn id="96" idx="2"/>
        </xdr:cNvCxnSpPr>
      </xdr:nvCxnSpPr>
      <xdr:spPr>
        <a:xfrm flipH="1" flipV="1">
          <a:off x="2369484" y="4041401"/>
          <a:ext cx="1644044" cy="621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230098</xdr:colOff>
      <xdr:row>23</xdr:row>
      <xdr:rowOff>110737</xdr:rowOff>
    </xdr:from>
    <xdr:to>
      <xdr:col>11</xdr:col>
      <xdr:colOff>357098</xdr:colOff>
      <xdr:row>25</xdr:row>
      <xdr:rowOff>12187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5918A2C-F3FF-BA6B-41AD-E702136B5363}"/>
            </a:ext>
          </a:extLst>
        </xdr:cNvPr>
        <xdr:cNvSpPr txBox="1"/>
      </xdr:nvSpPr>
      <xdr:spPr>
        <a:xfrm>
          <a:off x="3210863" y="3719031"/>
          <a:ext cx="889000" cy="215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13</xdr:col>
      <xdr:colOff>156139</xdr:colOff>
      <xdr:row>23</xdr:row>
      <xdr:rowOff>95786</xdr:rowOff>
    </xdr:from>
    <xdr:to>
      <xdr:col>15</xdr:col>
      <xdr:colOff>181539</xdr:colOff>
      <xdr:row>24</xdr:row>
      <xdr:rowOff>128607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780292F4-8800-B681-47F2-3DCA51540171}"/>
            </a:ext>
          </a:extLst>
        </xdr:cNvPr>
        <xdr:cNvSpPr txBox="1"/>
      </xdr:nvSpPr>
      <xdr:spPr>
        <a:xfrm>
          <a:off x="4660904" y="3704080"/>
          <a:ext cx="787400" cy="18970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35 MTR </a:t>
          </a:r>
        </a:p>
      </xdr:txBody>
    </xdr:sp>
    <xdr:clientData/>
  </xdr:twoCellAnchor>
  <xdr:twoCellAnchor>
    <xdr:from>
      <xdr:col>15</xdr:col>
      <xdr:colOff>171080</xdr:colOff>
      <xdr:row>29</xdr:row>
      <xdr:rowOff>3238</xdr:rowOff>
    </xdr:from>
    <xdr:to>
      <xdr:col>17</xdr:col>
      <xdr:colOff>196480</xdr:colOff>
      <xdr:row>30</xdr:row>
      <xdr:rowOff>62450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A79C7CB-6BCB-33A1-7742-EAECB32E58F5}"/>
            </a:ext>
          </a:extLst>
        </xdr:cNvPr>
        <xdr:cNvSpPr txBox="1"/>
      </xdr:nvSpPr>
      <xdr:spPr>
        <a:xfrm>
          <a:off x="5437845" y="4552826"/>
          <a:ext cx="787400" cy="204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15 MTR </a:t>
          </a:r>
        </a:p>
      </xdr:txBody>
    </xdr:sp>
    <xdr:clientData/>
  </xdr:twoCellAnchor>
  <xdr:twoCellAnchor>
    <xdr:from>
      <xdr:col>7</xdr:col>
      <xdr:colOff>344294</xdr:colOff>
      <xdr:row>16</xdr:row>
      <xdr:rowOff>8519</xdr:rowOff>
    </xdr:from>
    <xdr:to>
      <xdr:col>10</xdr:col>
      <xdr:colOff>328709</xdr:colOff>
      <xdr:row>20</xdr:row>
      <xdr:rowOff>137318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FC085C1B-E86B-B13D-E862-A93F987F9504}"/>
            </a:ext>
          </a:extLst>
        </xdr:cNvPr>
        <xdr:cNvSpPr/>
      </xdr:nvSpPr>
      <xdr:spPr>
        <a:xfrm>
          <a:off x="2563059" y="2518637"/>
          <a:ext cx="1127415" cy="7563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00B050"/>
              </a:solidFill>
            </a:rPr>
            <a:t>KOS SARDIMAN</a:t>
          </a:r>
        </a:p>
      </xdr:txBody>
    </xdr:sp>
    <xdr:clientData/>
  </xdr:twoCellAnchor>
  <xdr:twoCellAnchor>
    <xdr:from>
      <xdr:col>17</xdr:col>
      <xdr:colOff>328676</xdr:colOff>
      <xdr:row>30</xdr:row>
      <xdr:rowOff>136711</xdr:rowOff>
    </xdr:from>
    <xdr:to>
      <xdr:col>19</xdr:col>
      <xdr:colOff>155908</xdr:colOff>
      <xdr:row>33</xdr:row>
      <xdr:rowOff>87558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709120F1-6279-367A-C0F0-4DFFBEBF9E06}"/>
            </a:ext>
          </a:extLst>
        </xdr:cNvPr>
        <xdr:cNvSpPr txBox="1"/>
      </xdr:nvSpPr>
      <xdr:spPr>
        <a:xfrm>
          <a:off x="6357441" y="4831976"/>
          <a:ext cx="589232" cy="42149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ysClr val="windowText" lastClr="000000"/>
              </a:solidFill>
            </a:rPr>
            <a:t>1 CJ5T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11</xdr:col>
      <xdr:colOff>244497</xdr:colOff>
      <xdr:row>22</xdr:row>
      <xdr:rowOff>138611</xdr:rowOff>
    </xdr:from>
    <xdr:to>
      <xdr:col>13</xdr:col>
      <xdr:colOff>71729</xdr:colOff>
      <xdr:row>24</xdr:row>
      <xdr:rowOff>118907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7773807-934D-9983-7F82-26C6EDBA2387}"/>
            </a:ext>
          </a:extLst>
        </xdr:cNvPr>
        <xdr:cNvSpPr txBox="1"/>
      </xdr:nvSpPr>
      <xdr:spPr>
        <a:xfrm>
          <a:off x="3987262" y="3590023"/>
          <a:ext cx="589232" cy="2940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1 CJ5T</a:t>
          </a:r>
        </a:p>
      </xdr:txBody>
    </xdr:sp>
    <xdr:clientData/>
  </xdr:twoCellAnchor>
  <xdr:twoCellAnchor>
    <xdr:from>
      <xdr:col>15</xdr:col>
      <xdr:colOff>254487</xdr:colOff>
      <xdr:row>23</xdr:row>
      <xdr:rowOff>68431</xdr:rowOff>
    </xdr:from>
    <xdr:to>
      <xdr:col>17</xdr:col>
      <xdr:colOff>81719</xdr:colOff>
      <xdr:row>25</xdr:row>
      <xdr:rowOff>48725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EB46BF9-735A-FE0A-F7E0-4199FBC082FC}"/>
            </a:ext>
          </a:extLst>
        </xdr:cNvPr>
        <xdr:cNvSpPr txBox="1"/>
      </xdr:nvSpPr>
      <xdr:spPr>
        <a:xfrm>
          <a:off x="5521252" y="3676725"/>
          <a:ext cx="589232" cy="29405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2 CJ6T</a:t>
          </a:r>
        </a:p>
      </xdr:txBody>
    </xdr:sp>
    <xdr:clientData/>
  </xdr:twoCellAnchor>
  <xdr:twoCellAnchor>
    <xdr:from>
      <xdr:col>5</xdr:col>
      <xdr:colOff>364824</xdr:colOff>
      <xdr:row>20</xdr:row>
      <xdr:rowOff>82922</xdr:rowOff>
    </xdr:from>
    <xdr:to>
      <xdr:col>7</xdr:col>
      <xdr:colOff>289671</xdr:colOff>
      <xdr:row>24</xdr:row>
      <xdr:rowOff>117413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6EE307B-9362-5552-1786-5F66DCFDC214}"/>
            </a:ext>
          </a:extLst>
        </xdr:cNvPr>
        <xdr:cNvSpPr txBox="1"/>
      </xdr:nvSpPr>
      <xdr:spPr>
        <a:xfrm>
          <a:off x="1821589" y="3220569"/>
          <a:ext cx="686847" cy="6620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1 CJ6T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1F1-3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8</xdr:col>
      <xdr:colOff>152960</xdr:colOff>
      <xdr:row>25</xdr:row>
      <xdr:rowOff>82923</xdr:rowOff>
    </xdr:from>
    <xdr:to>
      <xdr:col>8</xdr:col>
      <xdr:colOff>279241</xdr:colOff>
      <xdr:row>26</xdr:row>
      <xdr:rowOff>38484</xdr:rowOff>
    </xdr:to>
    <xdr:grpSp>
      <xdr:nvGrpSpPr>
        <xdr:cNvPr id="2" name="Group 682">
          <a:extLst>
            <a:ext uri="{FF2B5EF4-FFF2-40B4-BE49-F238E27FC236}">
              <a16:creationId xmlns:a16="http://schemas.microsoft.com/office/drawing/2014/main" id="{F6E739CA-05C2-4B1E-93DF-1246B7BA0C7C}"/>
            </a:ext>
          </a:extLst>
        </xdr:cNvPr>
        <xdr:cNvGrpSpPr>
          <a:grpSpLocks/>
        </xdr:cNvGrpSpPr>
      </xdr:nvGrpSpPr>
      <xdr:grpSpPr bwMode="auto">
        <a:xfrm>
          <a:off x="2752725" y="4004982"/>
          <a:ext cx="126281" cy="11244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9D26BA75-6843-5F7A-D580-968F93B5934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81DE07E3-A5A2-FB74-5BAC-F778BA66B98C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B890E0D3-3320-33F2-D7D9-205C8BB413F8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123265</xdr:colOff>
      <xdr:row>25</xdr:row>
      <xdr:rowOff>58830</xdr:rowOff>
    </xdr:from>
    <xdr:to>
      <xdr:col>10</xdr:col>
      <xdr:colOff>313765</xdr:colOff>
      <xdr:row>25</xdr:row>
      <xdr:rowOff>151359</xdr:rowOff>
    </xdr:to>
    <xdr:grpSp>
      <xdr:nvGrpSpPr>
        <xdr:cNvPr id="10" name="Group 28">
          <a:extLst>
            <a:ext uri="{FF2B5EF4-FFF2-40B4-BE49-F238E27FC236}">
              <a16:creationId xmlns:a16="http://schemas.microsoft.com/office/drawing/2014/main" id="{CDD12A08-39B4-40D9-B132-5F2A631CC609}"/>
            </a:ext>
          </a:extLst>
        </xdr:cNvPr>
        <xdr:cNvGrpSpPr>
          <a:grpSpLocks/>
        </xdr:cNvGrpSpPr>
      </xdr:nvGrpSpPr>
      <xdr:grpSpPr bwMode="auto">
        <a:xfrm>
          <a:off x="3485030" y="3980889"/>
          <a:ext cx="190500" cy="92529"/>
          <a:chOff x="12267508" y="2212225"/>
          <a:chExt cx="192931" cy="101137"/>
        </a:xfrm>
      </xdr:grpSpPr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9A26DDF-3E39-E604-E4FE-C418D2AB52CA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435C1847-E5F9-98EB-6177-16984069D7C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8CC63E05-4BFB-AEB9-414B-E2668D8E7CA5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74878DCD-0226-358C-A556-C6D186E8DC6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6</xdr:col>
      <xdr:colOff>103910</xdr:colOff>
      <xdr:row>12</xdr:row>
      <xdr:rowOff>51954</xdr:rowOff>
    </xdr:from>
    <xdr:to>
      <xdr:col>19</xdr:col>
      <xdr:colOff>80477</xdr:colOff>
      <xdr:row>48</xdr:row>
      <xdr:rowOff>86591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41522-9DED-0864-5065-B09B178C3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6774" y="2078181"/>
          <a:ext cx="7856339" cy="56457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5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5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100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175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SUMIFS(RAB!$F$14:$F$72,RAB!$C$14:$C$72,C714)</f>
        <v>5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SUMIFS(RAB!$F$14:$F$72,RAB!$C$14:$C$72,C715)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SUMIFS(RAB!$F$14:$F$72,RAB!$C$14:$C$72,C716)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SUMIFS(RAB!$F$14:$F$72,RAB!$C$14:$C$72,C717)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SUMIFS(RAB!$F$14:$F$72,RAB!$C$14:$C$72,C718)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SUMIFS(RAB!$F$14:$F$72,RAB!$C$14:$C$72,C719)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SUMIFS(RAB!$F$14:$F$72,RAB!$C$14:$C$72,C720)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SUMIFS(RAB!$F$14:$F$72,RAB!$C$14:$C$72,C721)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SUMIFS(RAB!$F$14:$F$72,RAB!$C$14:$C$72,C722)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SUMIFS(RAB!$F$14:$F$72,RAB!$C$14:$C$72,C723)</f>
        <v>5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SUMIFS(RAB!$F$14:$F$72,RAB!$C$14:$C$72,C724)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SUMIFS(RAB!$F$14:$F$72,RAB!$C$14:$C$72,C725)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SUMIFS(RAB!$F$14:$F$72,RAB!$C$14:$C$72,C726)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SUMIFS(RAB!$F$14:$F$72,RAB!$C$14:$C$72,C727)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SUMIFS(RAB!$F$14:$F$72,RAB!$C$14:$C$72,C728)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SUMIFS(RAB!$F$14:$F$72,RAB!$C$14:$C$72,C729)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SUMIFS(RAB!$F$14:$F$72,RAB!$C$14:$C$72,C730)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SUMIFS(RAB!$F$14:$F$72,RAB!$C$14:$C$72,C731)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SUMIFS(RAB!$F$14:$F$72,RAB!$C$14:$C$72,C732)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SUMIFS(RAB!$F$14:$F$72,RAB!$C$14:$C$72,C733)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SUMIFS(RAB!$F$14:$F$72,RAB!$C$14:$C$72,C734)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SUMIFS(RAB!$F$14:$F$72,RAB!$C$14:$C$72,C735)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SUMIFS(RAB!$F$14:$F$72,RAB!$C$14:$C$72,C736)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SUMIFS(RAB!$F$14:$F$72,RAB!$C$14:$C$72,C737)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SUMIFS(RAB!$F$14:$F$72,RAB!$C$14:$C$72,C738)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SUMIFS(RAB!$F$14:$F$72,RAB!$C$14:$C$72,C739)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SUMIFS(RAB!$F$14:$F$72,RAB!$C$14:$C$72,C740)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SUMIFS(RAB!$F$14:$F$72,RAB!$C$14:$C$72,C741)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SUMIFS(RAB!$F$14:$F$72,RAB!$C$14:$C$72,C742)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SUMIFS(RAB!$F$14:$F$72,RAB!$C$14:$C$72,C743)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SUMIFS(RAB!$F$14:$F$72,RAB!$C$14:$C$72,C744)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SUMIFS(RAB!$F$14:$F$72,RAB!$C$14:$C$72,C745)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SUMIFS(RAB!$F$14:$F$72,RAB!$C$14:$C$72,C746)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SUMIFS(RAB!$F$14:$F$72,RAB!$C$14:$C$72,C747)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SUMIFS(RAB!$F$14:$F$72,RAB!$C$14:$C$72,C748)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SUMIFS(RAB!$F$14:$F$72,RAB!$C$14:$C$72,C749)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SUMIFS(RAB!$F$14:$F$72,RAB!$C$14:$C$72,C750)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SUMIFS(RAB!$F$14:$F$72,RAB!$C$14:$C$72,C751)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SUMIFS(RAB!$F$14:$F$72,RAB!$C$14:$C$72,C752)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SUMIFS(RAB!$F$14:$F$72,RAB!$C$14:$C$72,C753)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SUMIFS(RAB!$F$14:$F$72,RAB!$C$14:$C$72,C754)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SUMIFS(RAB!$F$14:$F$72,RAB!$C$14:$C$72,C755)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SUMIFS(RAB!$F$14:$F$72,RAB!$C$14:$C$72,C756)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SUMIFS(RAB!$F$14:$F$72,RAB!$C$14:$C$72,C757)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SUMIFS(RAB!$F$14:$F$72,RAB!$C$14:$C$72,C758)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SUMIFS(RAB!$F$14:$F$72,RAB!$C$14:$C$72,C759)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SUMIFS(RAB!$F$14:$F$72,RAB!$C$14:$C$72,C760)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SUMIFS(RAB!$F$14:$F$72,RAB!$C$14:$C$72,C761)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SUMIFS(RAB!$F$14:$F$72,RAB!$C$14:$C$72,C762)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SUMIFS(RAB!$F$14:$F$72,RAB!$C$14:$C$72,C763)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SUMIFS(RAB!$F$14:$F$72,RAB!$C$14:$C$72,C764)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SUMIFS(RAB!$F$14:$F$72,RAB!$C$14:$C$72,C765)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SUMIFS(RAB!$F$14:$F$72,RAB!$C$14:$C$72,C766)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SUMIFS(RAB!$F$14:$F$72,RAB!$C$14:$C$72,C767)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SUMIFS(RAB!$F$14:$F$72,RAB!$C$14:$C$72,C768)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SUMIFS(RAB!$F$14:$F$72,RAB!$C$14:$C$72,C769)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SUMIFS(RAB!$F$14:$F$72,RAB!$C$14:$C$72,C770)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SUMIFS(RAB!$F$14:$F$72,RAB!$C$14:$C$72,C771)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SUMIFS(RAB!$F$14:$F$72,RAB!$C$14:$C$72,C772)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SUMIFS(RAB!$F$14:$F$72,RAB!$C$14:$C$72,C773)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SUMIFS(RAB!$F$14:$F$72,RAB!$C$14:$C$72,C774)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SUMIFS(RAB!$F$14:$F$72,RAB!$C$14:$C$72,C775)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SUMIFS(RAB!$F$14:$F$72,RAB!$C$14:$C$72,C776)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SUMIFS(RAB!$F$14:$F$72,RAB!$C$14:$C$72,C777)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SUMIFS(RAB!$F$14:$F$72,RAB!$C$14:$C$72,C778)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SUMIFS(RAB!$F$14:$F$72,RAB!$C$14:$C$72,C779)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SUMIFS(RAB!$F$14:$F$72,RAB!$C$14:$C$72,C780)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SUMIFS(RAB!$F$14:$F$72,RAB!$C$14:$C$72,C781)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SUMIFS(RAB!$F$14:$F$72,RAB!$C$14:$C$72,C782)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SUMIFS(RAB!$F$14:$F$72,RAB!$C$14:$C$72,C783)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SUMIFS(RAB!$F$14:$F$72,RAB!$C$14:$C$72,C784)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SUMIFS(RAB!$F$14:$F$72,RAB!$C$14:$C$72,C785)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SUMIFS(RAB!$F$14:$F$72,RAB!$C$14:$C$72,C786)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SUMIFS(RAB!$F$14:$F$72,RAB!$C$14:$C$72,C787)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SUMIFS(RAB!$F$14:$F$72,RAB!$C$14:$C$72,C788)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SUMIFS(RAB!$F$14:$F$72,RAB!$C$14:$C$72,C789)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SUMIFS(RAB!$F$14:$F$72,RAB!$C$14:$C$72,C790)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SUMIFS(RAB!$F$14:$F$72,RAB!$C$14:$C$72,C791)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SUMIFS(RAB!$F$14:$F$72,RAB!$C$14:$C$72,C792)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SUMIFS(RAB!$F$14:$F$72,RAB!$C$14:$C$72,C793)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SUMIFS(RAB!$F$14:$F$72,RAB!$C$14:$C$72,C794)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SUMIFS(RAB!$F$14:$F$72,RAB!$C$14:$C$72,C795)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SUMIFS(RAB!$F$14:$F$72,RAB!$C$14:$C$72,C796)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SUMIFS(RAB!$F$14:$F$72,RAB!$C$14:$C$72,C797)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SUMIFS(RAB!$F$14:$F$72,RAB!$C$14:$C$72,C798)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SUMIFS(RAB!$F$14:$F$72,RAB!$C$14:$C$72,C799)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SUMIFS(RAB!$F$14:$F$72,RAB!$C$14:$C$72,C800)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SUMIFS(RAB!$F$14:$F$72,RAB!$C$14:$C$72,C801)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SUMIFS(RAB!$F$14:$F$72,RAB!$C$14:$C$72,C802)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SUMIFS(RAB!$F$14:$F$72,RAB!$C$14:$C$72,C803)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SUMIFS(RAB!$F$14:$F$72,RAB!$C$14:$C$72,C804)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SUMIFS(RAB!$F$14:$F$72,RAB!$C$14:$C$72,C805)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SUMIFS(RAB!$F$14:$F$72,RAB!$C$14:$C$72,C806)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SUMIFS(RAB!$F$14:$F$72,RAB!$C$14:$C$72,C807)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SUMIFS(RAB!$F$14:$F$72,RAB!$C$14:$C$72,C808)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SUMIFS(RAB!$F$14:$F$72,RAB!$C$14:$C$72,C809)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SUMIFS(RAB!$F$14:$F$72,RAB!$C$14:$C$72,C810)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SUMIFS(RAB!$F$14:$F$72,RAB!$C$14:$C$72,C811)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SUMIFS(RAB!$F$14:$F$72,RAB!$C$14:$C$72,C812)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SUMIFS(RAB!$F$14:$F$72,RAB!$C$14:$C$72,C813)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SUMIFS(RAB!$F$14:$F$72,RAB!$C$14:$C$72,C814)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SUMIFS(RAB!$F$14:$F$72,RAB!$C$14:$C$72,C815)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SUMIFS(RAB!$F$14:$F$72,RAB!$C$14:$C$72,C816)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SUMIFS(RAB!$F$14:$F$72,RAB!$C$14:$C$72,C817)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SUMIFS(RAB!$F$14:$F$72,RAB!$C$14:$C$72,C818)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SUMIFS(RAB!$F$14:$F$72,RAB!$C$14:$C$72,C819)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SUMIFS(RAB!$F$14:$F$72,RAB!$C$14:$C$72,C820)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SUMIFS(RAB!$F$14:$F$72,RAB!$C$14:$C$72,C821)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SUMIFS(RAB!$F$14:$F$72,RAB!$C$14:$C$72,C822)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SUMIFS(RAB!$F$14:$F$72,RAB!$C$14:$C$72,C823)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SUMIFS(RAB!$F$14:$F$72,RAB!$C$14:$C$72,C824)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SUMIFS(RAB!$F$14:$F$72,RAB!$C$14:$C$72,C825)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SUMIFS(RAB!$F$14:$F$72,RAB!$C$14:$C$72,C826)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SUMIFS(RAB!$F$14:$F$72,RAB!$C$14:$C$72,C827)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SUMIFS(RAB!$F$14:$F$72,RAB!$C$14:$C$72,C828)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SUMIFS(RAB!$F$14:$F$72,RAB!$C$14:$C$72,C829)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SUMIFS(RAB!$F$14:$F$72,RAB!$C$14:$C$72,C830)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SUMIFS(RAB!$F$14:$F$72,RAB!$C$14:$C$72,C831)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SUMIFS(RAB!$F$14:$F$72,RAB!$C$14:$C$72,C832)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SUMIFS(RAB!$F$14:$F$72,RAB!$C$14:$C$72,C833)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SUMIFS(RAB!$F$14:$F$72,RAB!$C$14:$C$72,C834)</f>
        <v>100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SUMIFS(RAB!$F$14:$F$72,RAB!$C$14:$C$72,C835)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SUMIFS(RAB!$F$14:$F$72,RAB!$C$14:$C$72,C836)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SUMIFS(RAB!$F$14:$F$72,RAB!$C$14:$C$72,C837)</f>
        <v>175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SUMIFS(RAB!$F$14:$F$72,RAB!$C$14:$C$72,C838)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SUMIFS(RAB!$F$14:$F$72,RAB!$C$14:$C$72,C839)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SUMIFS(RAB!$F$14:$F$72,RAB!$C$14:$C$72,C840)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SUMIFS(RAB!$F$14:$F$72,RAB!$C$14:$C$72,C841)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SUMIFS(RAB!$F$14:$F$72,RAB!$C$14:$C$72,C842)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SUMIFS(RAB!$F$14:$F$72,RAB!$C$14:$C$72,C843)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SUMIFS(RAB!$F$14:$F$72,RAB!$C$14:$C$72,C844)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SUMIFS(RAB!$F$14:$F$72,RAB!$C$14:$C$72,C845)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SUMIFS(RAB!$F$14:$F$72,RAB!$C$14:$C$72,C846)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SUMIFS(RAB!$F$14:$F$72,RAB!$C$14:$C$72,C847)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SUMIFS(RAB!$F$14:$F$72,RAB!$C$14:$C$72,C848)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SUMIFS(RAB!$F$14:$F$72,RAB!$C$14:$C$72,C849)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SUMIFS(RAB!$F$14:$F$72,RAB!$C$14:$C$72,C850)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SUMIFS(RAB!$F$14:$F$72,RAB!$C$14:$C$72,C851)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SUMIFS(RAB!$F$14:$F$72,RAB!$C$14:$C$72,C852)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SUMIFS(RAB!$F$14:$F$72,RAB!$C$14:$C$72,C853)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SUMIFS(RAB!$F$14:$F$72,RAB!$C$14:$C$72,C854)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SUMIFS(RAB!$F$14:$F$72,RAB!$C$14:$C$72,C855)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SUMIFS(RAB!$F$14:$F$72,RAB!$C$14:$C$72,C856)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SUMIFS(RAB!$F$14:$F$72,RAB!$C$14:$C$72,C857)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SUMIFS(RAB!$F$14:$F$72,RAB!$C$14:$C$72,C858)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SUMIFS(RAB!$F$14:$F$72,RAB!$C$14:$C$72,C859)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SUMIFS(RAB!$F$14:$F$72,RAB!$C$14:$C$72,C860)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SUMIFS(RAB!$F$14:$F$72,RAB!$C$14:$C$72,C861)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SUMIFS(RAB!$F$14:$F$72,RAB!$C$14:$C$72,C862)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SUMIFS(RAB!$F$14:$F$72,RAB!$C$14:$C$72,C863)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SUMIFS(RAB!$F$14:$F$72,RAB!$C$14:$C$72,C864)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SUMIFS(RAB!$F$14:$F$72,RAB!$C$14:$C$72,C865)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SUMIFS(RAB!$F$14:$F$72,RAB!$C$14:$C$72,C866)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SUMIFS(RAB!$F$14:$F$72,RAB!$C$14:$C$72,C867)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SUMIFS(RAB!$F$14:$F$72,RAB!$C$14:$C$72,C868)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SUMIFS(RAB!$F$14:$F$72,RAB!$C$14:$C$72,C869)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SUMIFS(RAB!$F$14:$F$72,RAB!$C$14:$C$72,C870)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SUMIFS(RAB!$F$14:$F$72,RAB!$C$14:$C$72,C871)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SUMIFS(RAB!$F$14:$F$72,RAB!$C$14:$C$72,C872)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SUMIFS(RAB!$F$14:$F$72,RAB!$C$14:$C$72,C873)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SUMIFS(RAB!$F$14:$F$72,RAB!$C$14:$C$72,C874)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SUMIFS(RAB!$F$14:$F$72,RAB!$C$14:$C$72,C875)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SUMIFS(RAB!$F$14:$F$72,RAB!$C$14:$C$72,C876)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SUMIFS(RAB!$F$14:$F$72,RAB!$C$14:$C$72,C877)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SUMIFS(RAB!$F$14:$F$72,RAB!$C$14:$C$72,C878)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SUMIFS(RAB!$F$14:$F$72,RAB!$C$14:$C$72,C879)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SUMIFS(RAB!$F$14:$F$72,RAB!$C$14:$C$72,C880)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SUMIFS(RAB!$F$14:$F$72,RAB!$C$14:$C$72,C881)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SUMIFS(RAB!$F$14:$F$72,RAB!$C$14:$C$72,C882)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SUMIFS(RAB!$F$14:$F$72,RAB!$C$14:$C$72,C883)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SUMIFS(RAB!$F$14:$F$72,RAB!$C$14:$C$72,C884)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SUMIFS(RAB!$F$14:$F$72,RAB!$C$14:$C$72,C885)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SUMIFS(RAB!$F$14:$F$72,RAB!$C$14:$C$72,C886)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SUMIFS(RAB!$F$14:$F$72,RAB!$C$14:$C$72,C887)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SUMIFS(RAB!$F$14:$F$72,RAB!$C$14:$C$72,C888)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SUMIFS(RAB!$F$14:$F$72,RAB!$C$14:$C$72,C889)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SUMIFS(RAB!$F$14:$F$72,RAB!$C$14:$C$72,C890)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SUMIFS(RAB!$F$14:$F$72,RAB!$C$14:$C$72,C891)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SUMIFS(RAB!$F$14:$F$72,RAB!$C$14:$C$72,C892)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SUMIFS(RAB!$F$14:$F$72,RAB!$C$14:$C$72,C893)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SUMIFS(RAB!$F$14:$F$72,RAB!$C$14:$C$72,C894)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SUMIFS(RAB!$F$14:$F$72,RAB!$C$14:$C$72,C895)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SUMIFS(RAB!$F$14:$F$72,RAB!$C$14:$C$72,C896)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SUMIFS(RAB!$F$14:$F$72,RAB!$C$14:$C$72,C897)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SUMIFS(RAB!$F$14:$F$72,RAB!$C$14:$C$72,C898)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SUMIFS(RAB!$F$14:$F$72,RAB!$C$14:$C$72,C899)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SUMIFS(RAB!$F$14:$F$72,RAB!$C$14:$C$72,C900)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SUMIFS(RAB!$F$14:$F$72,RAB!$C$14:$C$72,C901)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SUMIFS(RAB!$F$14:$F$72,RAB!$C$14:$C$72,C902)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SUMIFS(RAB!$F$14:$F$72,RAB!$C$14:$C$72,C903)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SUMIFS(RAB!$F$14:$F$72,RAB!$C$14:$C$72,C904)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SUMIFS(RAB!$F$14:$F$72,RAB!$C$14:$C$72,C905)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SUMIFS(RAB!$F$14:$F$72,RAB!$C$14:$C$72,C906)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SUMIFS(RAB!$F$14:$F$72,RAB!$C$14:$C$72,C907)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SUMIFS(RAB!$F$14:$F$72,RAB!$C$14:$C$72,C908)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SUMIFS(RAB!$F$14:$F$72,RAB!$C$14:$C$72,C909)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SUMIFS(RAB!$F$14:$F$72,RAB!$C$14:$C$72,C910)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SUMIFS(RAB!$F$14:$F$72,RAB!$C$14:$C$72,C911)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SUMIFS(RAB!$F$14:$F$72,RAB!$C$14:$C$72,C912)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SUMIFS(RAB!$F$14:$F$72,RAB!$C$14:$C$72,C913)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SUMIFS(RAB!$F$14:$F$72,RAB!$C$14:$C$72,C914)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SUMIFS(RAB!$F$14:$F$72,RAB!$C$14:$C$72,C915)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SUMIFS(RAB!$F$14:$F$72,RAB!$C$14:$C$72,C916)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SUMIFS(RAB!$F$14:$F$72,RAB!$C$14:$C$72,C917)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SUMIFS(RAB!$F$14:$F$72,RAB!$C$14:$C$72,C918)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SUMIFS(RAB!$F$14:$F$72,RAB!$C$14:$C$72,C919)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SUMIFS(RAB!$F$14:$F$72,RAB!$C$14:$C$72,C920)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SUMIFS(RAB!$F$14:$F$72,RAB!$C$14:$C$72,C921)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SUMIFS(RAB!$F$14:$F$72,RAB!$C$14:$C$72,C922)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SUMIFS(RAB!$F$14:$F$72,RAB!$C$14:$C$72,C923)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SUMIFS(RAB!$F$14:$F$72,RAB!$C$14:$C$72,C924)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SUMIFS(RAB!$F$14:$F$72,RAB!$C$14:$C$72,C925)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SUMIFS(RAB!$F$14:$F$72,RAB!$C$14:$C$72,C926)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SUMIFS(RAB!$F$14:$F$72,RAB!$C$14:$C$72,C927)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SUMIFS(RAB!$F$14:$F$72,RAB!$C$14:$C$72,C928)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SUMIFS(RAB!$F$14:$F$72,RAB!$C$14:$C$72,C929)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SUMIFS(RAB!$F$14:$F$72,RAB!$C$14:$C$72,C930)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SUMIFS(RAB!$F$14:$F$72,RAB!$C$14:$C$72,C931)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SUMIFS(RAB!$F$14:$F$72,RAB!$C$14:$C$72,C932)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SUMIFS(RAB!$F$14:$F$72,RAB!$C$14:$C$72,C933)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SUMIFS(RAB!$F$14:$F$72,RAB!$C$14:$C$72,C934)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SUMIFS(RAB!$F$14:$F$72,RAB!$C$14:$C$72,C935)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SUMIFS(RAB!$F$14:$F$72,RAB!$C$14:$C$72,C936)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SUMIFS(RAB!$F$14:$F$72,RAB!$C$14:$C$72,C937)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SUMIFS(RAB!$F$14:$F$72,RAB!$C$14:$C$72,C938)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SUMIFS(RAB!$F$14:$F$72,RAB!$C$14:$C$72,C939)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SUMIFS(RAB!$F$14:$F$72,RAB!$C$14:$C$72,C940)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SUMIFS(RAB!$F$14:$F$72,RAB!$C$14:$C$72,C941)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SUMIFS(RAB!$F$14:$F$72,RAB!$C$14:$C$72,C942)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SUMIFS(RAB!$F$14:$F$72,RAB!$C$14:$C$72,C943)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SUMIFS(RAB!$F$14:$F$72,RAB!$C$14:$C$72,C944)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SUMIFS(RAB!$F$14:$F$72,RAB!$C$14:$C$72,C945)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SUMIFS(RAB!$F$14:$F$72,RAB!$C$14:$C$72,C946)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SUMIFS(RAB!$F$14:$F$72,RAB!$C$14:$C$72,C947)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SUMIFS(RAB!$F$14:$F$72,RAB!$C$14:$C$72,C948)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SUMIFS(RAB!$F$14:$F$72,RAB!$C$14:$C$72,C949)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SUMIFS(RAB!$F$14:$F$72,RAB!$C$14:$C$72,C950)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SUMIFS(RAB!$F$14:$F$72,RAB!$C$14:$C$72,C951)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SUMIFS(RAB!$F$14:$F$72,RAB!$C$14:$C$72,C952)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SUMIFS(RAB!$F$14:$F$72,RAB!$C$14:$C$72,C953)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SUMIFS(RAB!$F$14:$F$72,RAB!$C$14:$C$72,C954)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SUMIFS(RAB!$F$14:$F$72,RAB!$C$14:$C$72,C955)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SUMIFS(RAB!$F$14:$F$72,RAB!$C$14:$C$72,C956)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SUMIFS(RAB!$F$14:$F$72,RAB!$C$14:$C$72,C957)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SUMIFS(RAB!$F$14:$F$72,RAB!$C$14:$C$72,C958)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SUMIFS(RAB!$F$14:$F$72,RAB!$C$14:$C$72,C959)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SUMIFS(RAB!$F$14:$F$72,RAB!$C$14:$C$72,C960)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SUMIFS(RAB!$F$14:$F$72,RAB!$C$14:$C$72,C961)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SUMIFS(RAB!$F$14:$F$72,RAB!$C$14:$C$72,C962)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SUMIFS(RAB!$F$14:$F$72,RAB!$C$14:$C$72,C963)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SUMIFS(RAB!$F$14:$F$72,RAB!$C$14:$C$72,C964)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SUMIFS(RAB!$F$14:$F$72,RAB!$C$14:$C$72,C965)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SUMIFS(RAB!$F$14:$F$72,RAB!$C$14:$C$72,C966)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SUMIFS(RAB!$F$14:$F$72,RAB!$C$14:$C$72,C967)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SUMIFS(RAB!$F$14:$F$72,RAB!$C$14:$C$72,C968)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SUMIFS(RAB!$F$14:$F$72,RAB!$C$14:$C$72,C969)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SUMIFS(RAB!$F$14:$F$72,RAB!$C$14:$C$72,C970)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SUMIFS(RAB!$F$14:$F$72,RAB!$C$14:$C$72,C971)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SUMIFS(RAB!$F$14:$F$72,RAB!$C$14:$C$72,C972)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SUMIFS(RAB!$F$14:$F$72,RAB!$C$14:$C$72,C973)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SUMIFS(RAB!$F$14:$F$72,RAB!$C$14:$C$72,C974)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SUMIFS(RAB!$F$14:$F$72,RAB!$C$14:$C$72,C975)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SUMIFS(RAB!$F$14:$F$72,RAB!$C$14:$C$72,C976)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SUMIFS(RAB!$F$14:$F$72,RAB!$C$14:$C$72,C977)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SUMIFS(RAB!$F$14:$F$72,RAB!$C$14:$C$72,C978)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SUMIFS(RAB!$F$14:$F$72,RAB!$C$14:$C$72,C979)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SUMIFS(RAB!$F$14:$F$72,RAB!$C$14:$C$72,C980)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SUMIFS(RAB!$F$14:$F$72,RAB!$C$14:$C$72,C981)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SUMIFS(RAB!$F$14:$F$72,RAB!$C$14:$C$72,C982)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SUMIFS(RAB!$F$14:$F$72,RAB!$C$14:$C$72,C983)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SUMIFS(RAB!$F$14:$F$72,RAB!$C$14:$C$72,C984)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SUMIFS(RAB!$F$14:$F$72,RAB!$C$14:$C$72,C985)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SUMIFS(RAB!$F$14:$F$72,RAB!$C$14:$C$72,C986)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SUMIFS(RAB!$F$14:$F$72,RAB!$C$14:$C$72,C987)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SUMIFS(RAB!$F$14:$F$72,RAB!$C$14:$C$72,C988)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SUMIFS(RAB!$F$14:$F$72,RAB!$C$14:$C$72,C989)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SUMIFS(RAB!$F$14:$F$72,RAB!$C$14:$C$72,C990)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SUMIFS(RAB!$F$14:$F$72,RAB!$C$14:$C$72,C991)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SUMIFS(RAB!$F$14:$F$72,RAB!$C$14:$C$72,C992)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SUMIFS(RAB!$F$14:$F$72,RAB!$C$14:$C$72,C993)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SUMIFS(RAB!$F$14:$F$72,RAB!$C$14:$C$72,C994)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SUMIFS(RAB!$F$14:$F$72,RAB!$C$14:$C$72,C995)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SUMIFS(RAB!$F$14:$F$72,RAB!$C$14:$C$72,C996)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SUMIFS(RAB!$F$14:$F$72,RAB!$C$14:$C$72,C997)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SUMIFS(RAB!$F$14:$F$72,RAB!$C$14:$C$72,C998)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SUMIFS(RAB!$F$14:$F$72,RAB!$C$14:$C$72,C999)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SUMIFS(RAB!$F$14:$F$72,RAB!$C$14:$C$72,C1000)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SUMIFS(RAB!$F$14:$F$72,RAB!$C$14:$C$72,C1001)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SUMIFS(RAB!$F$14:$F$72,RAB!$C$14:$C$72,C1002)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SUMIFS(RAB!$F$14:$F$72,RAB!$C$14:$C$72,C1003)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SUMIFS(RAB!$F$14:$F$72,RAB!$C$14:$C$72,C1004)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SUMIFS(RAB!$F$14:$F$72,RAB!$C$14:$C$72,C1005)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SUMIFS(RAB!$F$14:$F$72,RAB!$C$14:$C$72,C1006)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SUMIFS(RAB!$F$14:$F$72,RAB!$C$14:$C$72,C1007)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SUMIFS(RAB!$F$14:$F$72,RAB!$C$14:$C$72,C1008)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SUMIFS(RAB!$F$14:$F$72,RAB!$C$14:$C$72,C1009)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SUMIFS(RAB!$F$14:$F$72,RAB!$C$14:$C$72,C1010)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SUMIFS(RAB!$F$14:$F$72,RAB!$C$14:$C$72,C1011)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SUMIFS(RAB!$F$14:$F$72,RAB!$C$14:$C$72,C1012)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SUMIFS(RAB!$F$14:$F$72,RAB!$C$14:$C$72,C1013)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SUMIFS(RAB!$F$14:$F$72,RAB!$C$14:$C$72,C1014)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SUMIFS(RAB!$F$14:$F$72,RAB!$C$14:$C$72,C1015)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SUMIFS(RAB!$F$14:$F$72,RAB!$C$14:$C$72,C1016)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SUMIFS(RAB!$F$14:$F$72,RAB!$C$14:$C$72,C1017)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SUMIFS(RAB!$F$14:$F$72,RAB!$C$14:$C$72,C1018)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SUMIFS(RAB!$F$14:$F$72,RAB!$C$14:$C$72,C1019)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SUMIFS(RAB!$F$14:$F$72,RAB!$C$14:$C$72,C1020)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SUMIFS(RAB!$F$14:$F$72,RAB!$C$14:$C$72,C1021)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SUMIFS(RAB!$F$14:$F$72,RAB!$C$14:$C$72,C1022)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SUMIFS(RAB!$F$14:$F$72,RAB!$C$14:$C$72,C1023)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SUMIFS(RAB!$F$14:$F$72,RAB!$C$14:$C$72,C1024)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SUMIFS(RAB!$F$14:$F$72,RAB!$C$14:$C$72,C1025)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SUMIFS(RAB!$F$14:$F$72,RAB!$C$14:$C$72,C1026)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SUMIFS(RAB!$F$14:$F$72,RAB!$C$14:$C$72,C1027)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SUMIFS(RAB!$F$14:$F$72,RAB!$C$14:$C$72,C1028)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SUMIFS(RAB!$F$14:$F$72,RAB!$C$14:$C$72,C1029)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SUMIFS(RAB!$F$14:$F$72,RAB!$C$14:$C$72,C1030)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SUMIFS(RAB!$F$14:$F$72,RAB!$C$14:$C$72,C1031)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SUMIFS(RAB!$F$14:$F$72,RAB!$C$14:$C$72,C1032)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SUMIFS(RAB!$F$14:$F$72,RAB!$C$14:$C$72,C1033)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SUMIFS(RAB!$F$14:$F$72,RAB!$C$14:$C$72,C1034)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SUMIFS(RAB!$F$14:$F$72,RAB!$C$14:$C$72,C1035)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SUMIFS(RAB!$F$14:$F$72,RAB!$C$14:$C$72,C1036)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SUMIFS(RAB!$F$14:$F$72,RAB!$C$14:$C$72,C1037)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SUMIFS(RAB!$F$14:$F$72,RAB!$C$14:$C$72,C1038)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SUMIFS(RAB!$F$14:$F$72,RAB!$C$14:$C$72,C1039)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SUMIFS(RAB!$F$14:$F$72,RAB!$C$14:$C$72,C1040)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SUMIFS(RAB!$F$14:$F$72,RAB!$C$14:$C$72,C1041)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SUMIFS(RAB!$F$14:$F$72,RAB!$C$14:$C$72,C1042)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SUMIFS(RAB!$F$14:$F$72,RAB!$C$14:$C$72,C1043)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SUMIFS(RAB!$F$14:$F$72,RAB!$C$14:$C$72,C1044)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SUMIFS(RAB!$F$14:$F$72,RAB!$C$14:$C$72,C1045)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SUMIFS(RAB!$F$14:$F$72,RAB!$C$14:$C$72,C1046)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SUMIFS(RAB!$F$14:$F$72,RAB!$C$14:$C$72,C1047)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SUMIFS(RAB!$F$14:$F$72,RAB!$C$14:$C$72,C1048)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SUMIFS(RAB!$F$14:$F$72,RAB!$C$14:$C$72,C1049)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SUMIFS(RAB!$F$14:$F$72,RAB!$C$14:$C$72,C1050)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SUMIFS(RAB!$F$14:$F$72,RAB!$C$14:$C$72,C1051)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SUMIFS(RAB!$F$14:$F$72,RAB!$C$14:$C$72,C1052)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SUMIFS(RAB!$F$14:$F$72,RAB!$C$14:$C$72,C1053)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SUMIFS(RAB!$F$14:$F$72,RAB!$C$14:$C$72,C1054)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SUMIFS(RAB!$F$14:$F$72,RAB!$C$14:$C$72,C1055)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SUMIFS(RAB!$F$14:$F$72,RAB!$C$14:$C$72,C1056)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SUMIFS(RAB!$F$14:$F$72,RAB!$C$14:$C$72,C1057)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SUMIFS(RAB!$F$14:$F$72,RAB!$C$14:$C$72,C1058)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SUMIFS(RAB!$F$14:$F$72,RAB!$C$14:$C$72,C1059)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SUMIFS(RAB!$F$14:$F$72,RAB!$C$14:$C$72,C1060)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SUMIFS(RAB!$F$14:$F$72,RAB!$C$14:$C$72,C1061)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SUMIFS(RAB!$F$14:$F$72,RAB!$C$14:$C$72,C1062)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SUMIFS(RAB!$F$14:$F$72,RAB!$C$14:$C$72,C1063)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SUMIFS(RAB!$F$14:$F$72,RAB!$C$14:$C$72,C1064)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SUMIFS(RAB!$F$14:$F$72,RAB!$C$14:$C$72,C1065)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SUMIFS(RAB!$F$14:$F$72,RAB!$C$14:$C$72,C1066)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SUMIFS(RAB!$F$14:$F$72,RAB!$C$14:$C$72,C1067)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SUMIFS(RAB!$F$14:$F$72,RAB!$C$14:$C$72,C1068)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SUMIFS(RAB!$F$14:$F$72,RAB!$C$14:$C$72,C1069)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SUMIFS(RAB!$F$14:$F$72,RAB!$C$14:$C$72,C1070)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SUMIFS(RAB!$F$14:$F$72,RAB!$C$14:$C$72,C1071)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SUMIFS(RAB!$F$14:$F$72,RAB!$C$14:$C$72,C1072)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SUMIFS(RAB!$F$14:$F$72,RAB!$C$14:$C$72,C1073)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SUMIFS(RAB!$F$14:$F$72,RAB!$C$14:$C$72,C1074)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SUMIFS(RAB!$F$14:$F$72,RAB!$C$14:$C$72,C1075)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SUMIFS(RAB!$F$14:$F$72,RAB!$C$14:$C$72,C1076)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SUMIFS(RAB!$F$14:$F$72,RAB!$C$14:$C$72,C1077)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SUMIFS(RAB!$F$14:$F$72,RAB!$C$14:$C$72,C1078)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SUMIFS(RAB!$F$14:$F$72,RAB!$C$14:$C$72,C1079)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SUMIFS(RAB!$F$14:$F$72,RAB!$C$14:$C$72,C1080)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SUMIFS(RAB!$F$14:$F$72,RAB!$C$14:$C$72,C1081)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SUMIFS(RAB!$F$14:$F$72,RAB!$C$14:$C$72,C1082)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SUMIFS(RAB!$F$14:$F$72,RAB!$C$14:$C$72,C1083)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SUMIFS(RAB!$F$14:$F$72,RAB!$C$14:$C$72,C1084)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SUMIFS(RAB!$F$14:$F$72,RAB!$C$14:$C$72,C1085)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SUMIFS(RAB!$F$14:$F$72,RAB!$C$14:$C$72,C1086)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SUMIFS(RAB!$F$14:$F$72,RAB!$C$14:$C$72,C1087)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SUMIFS(RAB!$F$14:$F$72,RAB!$C$14:$C$72,C1088)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SUMIFS(RAB!$F$14:$F$72,RAB!$C$14:$C$72,C1089)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SUMIFS(RAB!$F$14:$F$72,RAB!$C$14:$C$72,C1090)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SUMIFS(RAB!$F$14:$F$72,RAB!$C$14:$C$72,C1091)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SUMIFS(RAB!$F$14:$F$72,RAB!$C$14:$C$72,C1092)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SUMIFS(RAB!$F$14:$F$72,RAB!$C$14:$C$72,C1093)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SUMIFS(RAB!$F$14:$F$72,RAB!$C$14:$C$72,C1094)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SUMIFS(RAB!$F$14:$F$72,RAB!$C$14:$C$72,C1095)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SUMIFS(RAB!$F$14:$F$72,RAB!$C$14:$C$72,C1096)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SUMIFS(RAB!$F$14:$F$72,RAB!$C$14:$C$72,C1097)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SUMIFS(RAB!$F$14:$F$72,RAB!$C$14:$C$72,C1098)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SUMIFS(RAB!$F$14:$F$72,RAB!$C$14:$C$72,C1099)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SUMIFS(RAB!$F$14:$F$72,RAB!$C$14:$C$72,C1100)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SUMIFS(RAB!$F$14:$F$72,RAB!$C$14:$C$72,C1101)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SUMIFS(RAB!$F$14:$F$72,RAB!$C$14:$C$72,C1102)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SUMIFS(RAB!$F$14:$F$72,RAB!$C$14:$C$72,C1103)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SUMIFS(RAB!$F$14:$F$72,RAB!$C$14:$C$72,C1104)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SUMIFS(RAB!$F$14:$F$72,RAB!$C$14:$C$72,C1105)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SUMIFS(RAB!$F$14:$F$72,RAB!$C$14:$C$72,C1106)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SUMIFS(RAB!$F$14:$F$72,RAB!$C$14:$C$72,C1107)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SUMIFS(RAB!$F$14:$F$72,RAB!$C$14:$C$72,C1108)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SUMIFS(RAB!$F$14:$F$72,RAB!$C$14:$C$72,C1109)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SUMIFS(RAB!$F$14:$F$72,RAB!$C$14:$C$72,C1110)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SUMIFS(RAB!$F$14:$F$72,RAB!$C$14:$C$72,C1111)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SUMIFS(RAB!$F$14:$F$72,RAB!$C$14:$C$72,C1112)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SUMIFS(RAB!$F$14:$F$72,RAB!$C$14:$C$72,C1113)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SUMIFS(RAB!$F$14:$F$72,RAB!$C$14:$C$72,C1114)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SUMIFS(RAB!$F$14:$F$72,RAB!$C$14:$C$72,C1115)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SUMIFS(RAB!$F$14:$F$72,RAB!$C$14:$C$72,C1116)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SUMIFS(RAB!$F$14:$F$72,RAB!$C$14:$C$72,C1117)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SUMIFS(RAB!$F$14:$F$72,RAB!$C$14:$C$72,C1118)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SUMIFS(RAB!$F$14:$F$72,RAB!$C$14:$C$72,C1119)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SUMIFS(RAB!$F$14:$F$72,RAB!$C$14:$C$72,C1120)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SUMIFS(RAB!$F$14:$F$72,RAB!$C$14:$C$72,C1121)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SUMIFS(RAB!$F$14:$F$72,RAB!$C$14:$C$72,C1122)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SUMIFS(RAB!$F$14:$F$72,RAB!$C$14:$C$72,C1123)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SUMIFS(RAB!$F$14:$F$72,RAB!$C$14:$C$72,C1124)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SUMIFS(RAB!$F$14:$F$72,RAB!$C$14:$C$72,C1125)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SUMIFS(RAB!$F$14:$F$72,RAB!$C$14:$C$72,C1126)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SUMIFS(RAB!$F$14:$F$72,RAB!$C$14:$C$72,C1127)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SUMIFS(RAB!$F$14:$F$72,RAB!$C$14:$C$72,C1128)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SUMIFS(RAB!$F$14:$F$72,RAB!$C$14:$C$72,C1129)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SUMIFS(RAB!$F$14:$F$72,RAB!$C$14:$C$72,C1130)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SUMIFS(RAB!$F$14:$F$72,RAB!$C$14:$C$72,C1131)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SUMIFS(RAB!$F$14:$F$72,RAB!$C$14:$C$72,C1132)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SUMIFS(RAB!$F$14:$F$72,RAB!$C$14:$C$72,C1133)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SUMIFS(RAB!$F$14:$F$72,RAB!$C$14:$C$72,C1134)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SUMIFS(RAB!$F$14:$F$72,RAB!$C$14:$C$72,C1135)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SUMIFS(RAB!$F$14:$F$72,RAB!$C$14:$C$72,C1136)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SUMIFS(RAB!$F$14:$F$72,RAB!$C$14:$C$72,C1137)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SUMIFS(RAB!$F$14:$F$72,RAB!$C$14:$C$72,C1138)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SUMIFS(RAB!$F$14:$F$72,RAB!$C$14:$C$72,C1139)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SUMIFS(RAB!$F$14:$F$72,RAB!$C$14:$C$72,C1140)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SUMIFS(RAB!$F$14:$F$72,RAB!$C$14:$C$72,C1141)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SUMIFS(RAB!$F$14:$F$72,RAB!$C$14:$C$72,C1142)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SUMIFS(RAB!$F$14:$F$72,RAB!$C$14:$C$72,C1143)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SUMIFS(RAB!$F$14:$F$72,RAB!$C$14:$C$72,C1144)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SUMIFS(RAB!$F$14:$F$72,RAB!$C$14:$C$72,C1145)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SUMIFS(RAB!$F$14:$F$72,RAB!$C$14:$C$72,C1146)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SUMIFS(RAB!$F$14:$F$72,RAB!$C$14:$C$72,C1147)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SUMIFS(RAB!$F$14:$F$72,RAB!$C$14:$C$72,C1148)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SUMIFS(RAB!$F$14:$F$72,RAB!$C$14:$C$72,C1149)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SUMIFS(RAB!$F$14:$F$72,RAB!$C$14:$C$72,C1150)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SUMIFS(RAB!$F$14:$F$72,RAB!$C$14:$C$72,C1151)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SUMIFS(RAB!$F$14:$F$72,RAB!$C$14:$C$72,C1152)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SUMIFS(RAB!$F$14:$F$72,RAB!$C$14:$C$72,C1153)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SUMIFS(RAB!$F$14:$F$72,RAB!$C$14:$C$72,C1154)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SUMIFS(RAB!$F$14:$F$72,RAB!$C$14:$C$72,C1155)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SUMIFS(RAB!$F$14:$F$72,RAB!$C$14:$C$72,C1156)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SUMIFS(RAB!$F$14:$F$72,RAB!$C$14:$C$72,C1157)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SUMIFS(RAB!$F$14:$F$72,RAB!$C$14:$C$72,C1158)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SUMIFS(RAB!$F$14:$F$72,RAB!$C$14:$C$72,C1159)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SUMIFS(RAB!$F$14:$F$72,RAB!$C$14:$C$72,C1160)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SUMIFS(RAB!$F$14:$F$72,RAB!$C$14:$C$72,C1161)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SUMIFS(RAB!$F$14:$F$72,RAB!$C$14:$C$72,C1162)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SUMIFS(RAB!$F$14:$F$72,RAB!$C$14:$C$72,C1163)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SUMIFS(RAB!$F$14:$F$72,RAB!$C$14:$C$72,C1164)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SUMIFS(RAB!$F$14:$F$72,RAB!$C$14:$C$72,C1165)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SUMIFS(RAB!$F$14:$F$72,RAB!$C$14:$C$72,C1166)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SUMIFS(RAB!$F$14:$F$72,RAB!$C$14:$C$72,C1167)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SUMIFS(RAB!$F$14:$F$72,RAB!$C$14:$C$72,C1168)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SUMIFS(RAB!$F$14:$F$72,RAB!$C$14:$C$72,C1169)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SUMIFS(RAB!$F$14:$F$72,RAB!$C$14:$C$72,C1170)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SUMIFS(RAB!$F$14:$F$72,RAB!$C$14:$C$72,C1171)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SUMIFS(RAB!$F$14:$F$72,RAB!$C$14:$C$72,C1172)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SUMIFS(RAB!$F$14:$F$72,RAB!$C$14:$C$72,C1173)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SUMIFS(RAB!$F$14:$F$72,RAB!$C$14:$C$72,C1174)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SUMIFS(RAB!$F$14:$F$72,RAB!$C$14:$C$72,C1175)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SUMIFS(RAB!$F$14:$F$72,RAB!$C$14:$C$72,C1176)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SUMIFS(RAB!$F$14:$F$72,RAB!$C$14:$C$72,C1177)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SUMIFS(RAB!$F$14:$F$72,RAB!$C$14:$C$72,C1178)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SUMIFS(RAB!$F$14:$F$72,RAB!$C$14:$C$72,C1179)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SUMIFS(RAB!$F$14:$F$72,RAB!$C$14:$C$72,C1180)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SUMIFS(RAB!$F$14:$F$72,RAB!$C$14:$C$72,C1181)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SUMIFS(RAB!$F$14:$F$72,RAB!$C$14:$C$72,C1182)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SUMIFS(RAB!$F$14:$F$72,RAB!$C$14:$C$72,C1183)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SUMIFS(RAB!$F$14:$F$72,RAB!$C$14:$C$72,C1184)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SUMIFS(RAB!$F$14:$F$72,RAB!$C$14:$C$72,C1185)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SUMIFS(RAB!$F$14:$F$72,RAB!$C$14:$C$72,C1186)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SUMIFS(RAB!$F$14:$F$72,RAB!$C$14:$C$72,C1187)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SUMIFS(RAB!$F$14:$F$72,RAB!$C$14:$C$72,C1188)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SUMIFS(RAB!$F$14:$F$72,RAB!$C$14:$C$72,C1189)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SUMIFS(RAB!$F$14:$F$72,RAB!$C$14:$C$72,C1190)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SUMIFS(RAB!$F$14:$F$72,RAB!$C$14:$C$72,C1191)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SUMIFS(RAB!$F$14:$F$72,RAB!$C$14:$C$72,C1192)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SUMIFS(RAB!$F$14:$F$72,RAB!$C$14:$C$72,C1193)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SUMIFS(RAB!$F$14:$F$72,RAB!$C$14:$C$72,C1194)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SUMIFS(RAB!$F$14:$F$72,RAB!$C$14:$C$72,C1195)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SUMIFS(RAB!$F$14:$F$72,RAB!$C$14:$C$72,C1196)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SUMIFS(RAB!$F$14:$F$72,RAB!$C$14:$C$72,C1197)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SUMIFS(RAB!$F$14:$F$72,RAB!$C$14:$C$72,C1198)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SUMIFS(RAB!$F$14:$F$72,RAB!$C$14:$C$72,C1199)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SUMIFS(RAB!$F$14:$F$72,RAB!$C$14:$C$72,C1200)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SUMIFS(RAB!$F$14:$F$72,RAB!$C$14:$C$72,C1201)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SUMIFS(RAB!$F$14:$F$72,RAB!$C$14:$C$72,C1202)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SUMIFS(RAB!$F$14:$F$72,RAB!$C$14:$C$72,C1203)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SUMIFS(RAB!$F$14:$F$72,RAB!$C$14:$C$72,C1204)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SUMIFS(RAB!$F$14:$F$72,RAB!$C$14:$C$72,C1205)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SUMIFS(RAB!$F$14:$F$72,RAB!$C$14:$C$72,C1206)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SUMIFS(RAB!$F$14:$F$72,RAB!$C$14:$C$72,C1207)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SUMIFS(RAB!$F$14:$F$72,RAB!$C$14:$C$72,C1208)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SUMIFS(RAB!$F$14:$F$72,RAB!$C$14:$C$72,C1209)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SUMIFS(RAB!$F$14:$F$72,RAB!$C$14:$C$72,C1210)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SUMIFS(RAB!$F$14:$F$72,RAB!$C$14:$C$72,C1211)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SUMIFS(RAB!$F$14:$F$72,RAB!$C$14:$C$72,C1212)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SUMIFS(RAB!$F$14:$F$72,RAB!$C$14:$C$72,C1213)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SUMIFS(RAB!$F$14:$F$72,RAB!$C$14:$C$72,C1214)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SUMIFS(RAB!$F$14:$F$72,RAB!$C$14:$C$72,C1215)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SUMIFS(RAB!$F$14:$F$72,RAB!$C$14:$C$72,C1216)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SUMIFS(RAB!$F$14:$F$72,RAB!$C$14:$C$72,C1217)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SUMIFS(RAB!$F$14:$F$72,RAB!$C$14:$C$72,C1218)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SUMIFS(RAB!$F$14:$F$72,RAB!$C$14:$C$72,C1219)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SUMIFS(RAB!$F$14:$F$72,RAB!$C$14:$C$72,C1220)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SUMIFS(RAB!$F$14:$F$72,RAB!$C$14:$C$72,C1221)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SUMIFS(RAB!$F$14:$F$72,RAB!$C$14:$C$72,C1222)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SUMIFS(RAB!$F$14:$F$72,RAB!$C$14:$C$72,C1223)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SUMIFS(RAB!$F$14:$F$72,RAB!$C$14:$C$72,C1224)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SUMIFS(RAB!$F$14:$F$72,RAB!$C$14:$C$72,C1225)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SUMIFS(RAB!$F$14:$F$72,RAB!$C$14:$C$72,C1226)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SUMIFS(RAB!$F$14:$F$72,RAB!$C$14:$C$72,C1227)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SUMIFS(RAB!$F$14:$F$72,RAB!$C$14:$C$72,C1228)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SUMIFS(RAB!$F$14:$F$72,RAB!$C$14:$C$72,C1229)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SUMIFS(RAB!$F$14:$F$72,RAB!$C$14:$C$72,C1230)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SUMIFS(RAB!$F$14:$F$72,RAB!$C$14:$C$72,C1231)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SUMIFS(RAB!$F$14:$F$72,RAB!$C$14:$C$72,C1232)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SUMIFS(RAB!$F$14:$F$72,RAB!$C$14:$C$72,C1233)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SUMIFS(RAB!$F$14:$F$72,RAB!$C$14:$C$72,C1234)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SUMIFS(RAB!$F$14:$F$72,RAB!$C$14:$C$72,C1235)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SUMIFS(RAB!$F$14:$F$72,RAB!$C$14:$C$72,C1236)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SUMIFS(RAB!$F$14:$F$72,RAB!$C$14:$C$72,C1237)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SUMIFS(RAB!$F$14:$F$72,RAB!$C$14:$C$72,C1238)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SUMIFS(RAB!$F$14:$F$72,RAB!$C$14:$C$72,C1239)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SUMIFS(RAB!$F$14:$F$72,RAB!$C$14:$C$72,C1240)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SUMIFS(RAB!$F$14:$F$72,RAB!$C$14:$C$72,C1241)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SUMIFS(RAB!$F$14:$F$72,RAB!$C$14:$C$72,C1242)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SUMIFS(RAB!$F$14:$F$72,RAB!$C$14:$C$72,C1243)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SUMIFS(RAB!$F$14:$F$72,RAB!$C$14:$C$72,C1244)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SUMIFS(RAB!$F$14:$F$72,RAB!$C$14:$C$72,C1245)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SUMIFS(RAB!$F$14:$F$72,RAB!$C$14:$C$72,C1246)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SUMIFS(RAB!$F$14:$F$72,RAB!$C$14:$C$72,C1247)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SUMIFS(RAB!$F$14:$F$72,RAB!$C$14:$C$72,C1248)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SUMIFS(RAB!$F$14:$F$72,RAB!$C$14:$C$72,C1249)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SUMIFS(RAB!$F$14:$F$72,RAB!$C$14:$C$72,C1250)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SUMIFS(RAB!$F$14:$F$72,RAB!$C$14:$C$72,C1251)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SUMIFS(RAB!$F$14:$F$72,RAB!$C$14:$C$72,C1252)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SUMIFS(RAB!$F$14:$F$72,RAB!$C$14:$C$72,C1253)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SUMIFS(RAB!$F$14:$F$72,RAB!$C$14:$C$72,C1254)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SUMIFS(RAB!$F$14:$F$72,RAB!$C$14:$C$72,C1255)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SUMIFS(RAB!$F$14:$F$72,RAB!$C$14:$C$72,C1256)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SUMIFS(RAB!$F$14:$F$72,RAB!$C$14:$C$72,C1257)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SUMIFS(RAB!$F$14:$F$72,RAB!$C$14:$C$72,C1258)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SUMIFS(RAB!$F$14:$F$72,RAB!$C$14:$C$72,C1259)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SUMIFS(RAB!$F$14:$F$72,RAB!$C$14:$C$72,C1260)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SUMIFS(RAB!$F$14:$F$72,RAB!$C$14:$C$72,C1261)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SUMIFS(RAB!$F$14:$F$72,RAB!$C$14:$C$72,C1262)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SUMIFS(RAB!$F$14:$F$72,RAB!$C$14:$C$72,C1263)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SUMIFS(RAB!$F$14:$F$72,RAB!$C$14:$C$72,C1264)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SUMIFS(RAB!$F$14:$F$72,RAB!$C$14:$C$72,C1265)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SUMIFS(RAB!$F$14:$F$72,RAB!$C$14:$C$72,C1266)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SUMIFS(RAB!$F$14:$F$72,RAB!$C$14:$C$72,C1267)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SUMIFS(RAB!$F$14:$F$72,RAB!$C$14:$C$72,C1268)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SUMIFS(RAB!$F$14:$F$72,RAB!$C$14:$C$72,C1269)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SUMIFS(RAB!$F$14:$F$72,RAB!$C$14:$C$72,C1270)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SUMIFS(RAB!$F$14:$F$72,RAB!$C$14:$C$72,C1271)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SUMIFS(RAB!$F$14:$F$72,RAB!$C$14:$C$72,C1272)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SUMIFS(RAB!$F$14:$F$72,RAB!$C$14:$C$72,C1273)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SUMIFS(RAB!$F$14:$F$72,RAB!$C$14:$C$72,C1274)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SUMIFS(RAB!$F$14:$F$72,RAB!$C$14:$C$72,C1275)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SUMIFS(RAB!$F$14:$F$72,RAB!$C$14:$C$72,C1276)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SUMIFS(RAB!$F$14:$F$72,RAB!$C$14:$C$72,C1277)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SUMIFS(RAB!$F$14:$F$72,RAB!$C$14:$C$72,C1278)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SUMIFS(RAB!$F$14:$F$72,RAB!$C$14:$C$72,C1279)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SUMIFS(RAB!$F$14:$F$72,RAB!$C$14:$C$72,C1280)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SUMIFS(RAB!$F$14:$F$72,RAB!$C$14:$C$72,C1281)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SUMIFS(RAB!$F$14:$F$72,RAB!$C$14:$C$72,C1282)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SUMIFS(RAB!$F$14:$F$72,RAB!$C$14:$C$72,C1283)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SUMIFS(RAB!$F$14:$F$72,RAB!$C$14:$C$72,C1284)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SUMIFS(RAB!$F$14:$F$72,RAB!$C$14:$C$72,C1285)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SUMIFS(RAB!$F$14:$F$72,RAB!$C$14:$C$72,C1286)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SUMIFS(RAB!$F$14:$F$72,RAB!$C$14:$C$72,C1287)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SUMIFS(RAB!$F$14:$F$72,RAB!$C$14:$C$72,C1288)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SUMIFS(RAB!$F$14:$F$72,RAB!$C$14:$C$72,C1289)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SUMIFS(RAB!$F$14:$F$72,RAB!$C$14:$C$72,C1290)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SUMIFS(RAB!$F$14:$F$72,RAB!$C$14:$C$72,C1291)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SUMIFS(RAB!$F$14:$F$72,RAB!$C$14:$C$72,C1292)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SUMIFS(RAB!$F$14:$F$72,RAB!$C$14:$C$72,C1293)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SUMIFS(RAB!$F$14:$F$72,RAB!$C$14:$C$72,C1294)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SUMIFS(RAB!$F$14:$F$72,RAB!$C$14:$C$72,C1295)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SUMIFS(RAB!$F$14:$F$72,RAB!$C$14:$C$72,C1296)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SUMIFS(RAB!$F$14:$F$72,RAB!$C$14:$C$72,C1297)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SUMIFS(RAB!$F$14:$F$72,RAB!$C$14:$C$72,C1298)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SUMIFS(RAB!$F$14:$F$72,RAB!$C$14:$C$72,C1299)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SUMIFS(RAB!$F$14:$F$72,RAB!$C$14:$C$72,C1300)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SUMIFS(RAB!$F$14:$F$72,RAB!$C$14:$C$72,C1301)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SUMIFS(RAB!$F$14:$F$72,RAB!$C$14:$C$72,C1302)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SUMIFS(RAB!$F$14:$F$72,RAB!$C$14:$C$72,C1303)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SUMIFS(RAB!$F$14:$F$72,RAB!$C$14:$C$72,C1304)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SUMIFS(RAB!$F$14:$F$72,RAB!$C$14:$C$72,C1305)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SUMIFS(RAB!$F$14:$F$72,RAB!$C$14:$C$72,C1306)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SUMIFS(RAB!$F$14:$F$72,RAB!$C$14:$C$72,C1307)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SUMIFS(RAB!$F$14:$F$72,RAB!$C$14:$C$72,C1308)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SUMIFS(RAB!$F$14:$F$72,RAB!$C$14:$C$72,C1309)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SUMIFS(RAB!$F$14:$F$72,RAB!$C$14:$C$72,C1310)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SUMIFS(RAB!$F$14:$F$72,RAB!$C$14:$C$72,C1311)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SUMIFS(RAB!$F$14:$F$72,RAB!$C$14:$C$72,C1312)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SUMIFS(RAB!$F$14:$F$72,RAB!$C$14:$C$72,C1313)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SUMIFS(RAB!$F$14:$F$72,RAB!$C$14:$C$72,C1314)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SUMIFS(RAB!$F$14:$F$72,RAB!$C$14:$C$72,C1315)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SUMIFS(RAB!$F$14:$F$72,RAB!$C$14:$C$72,C1316)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SUMIFS(RAB!$F$14:$F$72,RAB!$C$14:$C$72,C1317)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SUMIFS(RAB!$F$14:$F$72,RAB!$C$14:$C$72,C1318)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SUMIFS(RAB!$F$14:$F$72,RAB!$C$14:$C$72,C1319)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SUMIFS(RAB!$F$14:$F$72,RAB!$C$14:$C$72,C1320)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KOS LC SARDIMAN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MANGUNJIWAN,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SUMIFS(RAB!$F$14:$F$72,RAB!$C$14:$C$72,'REKAP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SUMIFS(RAB!$F$14:$F$72,RAB!$C$14:$C$72,'REKAP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SUMIFS(RAB!$F$14:$F$72,RAB!$C$14:$C$72,'REKAP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SUMIFS(RAB!$F$14:$F$72,RAB!$C$14:$C$72,'REKAP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SUMIFS(RAB!$F$14:$F$72,RAB!$C$14:$C$72,'REKAP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SUMIFS(RAB!$F$14:$F$72,RAB!$C$14:$C$72,'REKAP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SUMIFS(RAB!$F$14:$F$72,RAB!$C$14:$C$72,'REKAP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SUMIFS(RAB!$F$14:$F$72,RAB!$C$14:$C$72,'REKAP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SUMIFS(RAB!$F$14:$F$72,RAB!$C$14:$C$72,'REKAP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SUMIFS(RAB!$F$14:$F$72,RAB!$C$14:$C$72,'REKAP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SUMIFS(RAB!$F$14:$F$72,RAB!$C$14:$C$72,'REKAP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SUMIFS(RAB!$F$14:$F$72,RAB!$C$14:$C$72,'REKAP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SUMIFS(RAB!$F$14:$F$72,RAB!$C$14:$C$72,'REKAP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SUMIFS(RAB!$F$14:$F$72,RAB!$C$14:$C$72,'REKAP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SUMIFS(RAB!$F$14:$F$72,RAB!$C$14:$C$72,'REKAP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SUMIFS(RAB!$F$14:$F$72,RAB!$C$14:$C$72,'REKAP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SUMIFS(RAB!$F$14:$F$72,RAB!$C$14:$C$72,'REKAP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SUMIFS(RAB!$F$14:$F$72,RAB!$C$14:$C$72,'REKAP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SUMIFS(RAB!$F$14:$F$72,RAB!$C$14:$C$72,'REKAP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SUMIFS(RAB!$F$14:$F$72,RAB!$C$14:$C$72,'REKAP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KOS LC SARDIMAN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MANGUNJIWAN,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5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1638000</v>
      </c>
      <c r="I16" s="42">
        <f t="shared" ca="1" si="2"/>
        <v>0</v>
      </c>
      <c r="J16" s="42">
        <f t="shared" ca="1" si="3"/>
        <v>0</v>
      </c>
      <c r="K16" s="43">
        <f t="shared" ca="1" si="0"/>
        <v>1638000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5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195000</v>
      </c>
      <c r="I17" s="42">
        <f t="shared" ca="1" si="2"/>
        <v>0</v>
      </c>
      <c r="J17" s="42">
        <f t="shared" ca="1" si="3"/>
        <v>0</v>
      </c>
      <c r="K17" s="43">
        <f t="shared" ca="1" si="0"/>
        <v>195000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100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5330000</v>
      </c>
      <c r="I18" s="42">
        <f t="shared" ca="1" si="2"/>
        <v>0</v>
      </c>
      <c r="J18" s="42">
        <f t="shared" ca="1" si="3"/>
        <v>0</v>
      </c>
      <c r="K18" s="43">
        <f t="shared" ca="1" si="0"/>
        <v>5330000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175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752500</v>
      </c>
      <c r="I19" s="42">
        <f t="shared" ca="1" si="2"/>
        <v>0</v>
      </c>
      <c r="J19" s="42">
        <f t="shared" ca="1" si="3"/>
        <v>0</v>
      </c>
      <c r="K19" s="43">
        <f t="shared" ca="1" si="0"/>
        <v>752500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7915500</v>
      </c>
      <c r="I168" s="55">
        <f ca="1">SUM(I14:I167)</f>
        <v>0</v>
      </c>
      <c r="J168" s="55">
        <f ca="1">SUM(J14:J167)</f>
        <v>0</v>
      </c>
      <c r="K168" s="55">
        <f ca="1">SUM(K14:K167)</f>
        <v>7915500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791550</v>
      </c>
      <c r="I169" s="60">
        <f ca="1">I168*0.1</f>
        <v>0</v>
      </c>
      <c r="J169" s="60">
        <f ca="1">J168*0.1</f>
        <v>0</v>
      </c>
      <c r="K169" s="60">
        <f ca="1">K168*0.1</f>
        <v>791550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8707050</v>
      </c>
      <c r="I170" s="78">
        <f ca="1">SUM(I168:I169)</f>
        <v>0</v>
      </c>
      <c r="J170" s="61">
        <f ca="1">SUM(J168:J169)</f>
        <v>0</v>
      </c>
      <c r="K170" s="61">
        <f ca="1">SUM(K168:K169)</f>
        <v>8707050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SUMIFS(RAB!$F$14:$F$72,RAB!$C$14:$C$72,C224)</f>
        <v>5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SUMIFS(RAB!$F$14:$F$72,RAB!$C$14:$C$72,C225)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SUMIFS(RAB!$F$14:$F$72,RAB!$C$14:$C$72,C226)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SUMIFS(RAB!$F$14:$F$72,RAB!$C$14:$C$72,C227)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SUMIFS(RAB!$F$14:$F$72,RAB!$C$14:$C$72,C228)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SUMIFS(RAB!$F$14:$F$72,RAB!$C$14:$C$72,C229)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SUMIFS(RAB!$F$14:$F$72,RAB!$C$14:$C$72,C230)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SUMIFS(RAB!$F$14:$F$72,RAB!$C$14:$C$72,C231)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SUMIFS(RAB!$F$14:$F$72,RAB!$C$14:$C$72,C232)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SUMIFS(RAB!$F$14:$F$72,RAB!$C$14:$C$72,C233)</f>
        <v>5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SUMIFS(RAB!$F$14:$F$72,RAB!$C$14:$C$72,C234)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SUMIFS(RAB!$F$14:$F$72,RAB!$C$14:$C$72,C235)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SUMIFS(RAB!$F$14:$F$72,RAB!$C$14:$C$72,C236)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SUMIFS(RAB!$F$14:$F$72,RAB!$C$14:$C$72,C237)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SUMIFS(RAB!$F$14:$F$72,RAB!$C$14:$C$72,C238)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SUMIFS(RAB!$F$14:$F$72,RAB!$C$14:$C$72,C239)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SUMIFS(RAB!$F$14:$F$72,RAB!$C$14:$C$72,C240)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SUMIFS(RAB!$F$14:$F$72,RAB!$C$14:$C$72,C241)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SUMIFS(RAB!$F$14:$F$72,RAB!$C$14:$C$72,C242)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SUMIFS(RAB!$F$14:$F$72,RAB!$C$14:$C$72,C243)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SUMIFS(RAB!$F$14:$F$72,RAB!$C$14:$C$72,C244)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SUMIFS(RAB!$F$14:$F$72,RAB!$C$14:$C$72,C245)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SUMIFS(RAB!$F$14:$F$72,RAB!$C$14:$C$72,C246)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SUMIFS(RAB!$F$14:$F$72,RAB!$C$14:$C$72,C247)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SUMIFS(RAB!$F$14:$F$72,RAB!$C$14:$C$72,C248)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SUMIFS(RAB!$F$14:$F$72,RAB!$C$14:$C$72,C249)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SUMIFS(RAB!$F$14:$F$72,RAB!$C$14:$C$72,C250)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SUMIFS(RAB!$F$14:$F$72,RAB!$C$14:$C$72,C251)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SUMIFS(RAB!$F$14:$F$72,RAB!$C$14:$C$72,C252)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SUMIFS(RAB!$F$14:$F$72,RAB!$C$14:$C$72,C253)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SUMIFS(RAB!$F$14:$F$72,RAB!$C$14:$C$72,C254)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SUMIFS(RAB!$F$14:$F$72,RAB!$C$14:$C$72,C255)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SUMIFS(RAB!$F$14:$F$72,RAB!$C$14:$C$72,C256)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SUMIFS(RAB!$F$14:$F$72,RAB!$C$14:$C$72,C257)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SUMIFS(RAB!$F$14:$F$72,RAB!$C$14:$C$72,C258)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SUMIFS(RAB!$F$14:$F$72,RAB!$C$14:$C$72,C259)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SUMIFS(RAB!$F$14:$F$72,RAB!$C$14:$C$72,C260)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SUMIFS(RAB!$F$14:$F$72,RAB!$C$14:$C$72,C261)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SUMIFS(RAB!$F$14:$F$72,RAB!$C$14:$C$72,C262)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SUMIFS(RAB!$F$14:$F$72,RAB!$C$14:$C$72,C263)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SUMIFS(RAB!$F$14:$F$72,RAB!$C$14:$C$72,C264)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SUMIFS(RAB!$F$14:$F$72,RAB!$C$14:$C$72,C265)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SUMIFS(RAB!$F$14:$F$72,RAB!$C$14:$C$72,C266)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SUMIFS(RAB!$F$14:$F$72,RAB!$C$14:$C$72,C267)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SUMIFS(RAB!$F$14:$F$72,RAB!$C$14:$C$72,C268)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SUMIFS(RAB!$F$14:$F$72,RAB!$C$14:$C$72,C269)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SUMIFS(RAB!$F$14:$F$72,RAB!$C$14:$C$72,C270)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SUMIFS(RAB!$F$14:$F$72,RAB!$C$14:$C$72,C271)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SUMIFS(RAB!$F$14:$F$72,RAB!$C$14:$C$72,C272)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SUMIFS(RAB!$F$14:$F$72,RAB!$C$14:$C$72,C273)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SUMIFS(RAB!$F$14:$F$72,RAB!$C$14:$C$72,C274)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SUMIFS(RAB!$F$14:$F$72,RAB!$C$14:$C$72,C275)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SUMIFS(RAB!$F$14:$F$72,RAB!$C$14:$C$72,C276)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SUMIFS(RAB!$F$14:$F$72,RAB!$C$14:$C$72,C277)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SUMIFS(RAB!$F$14:$F$72,RAB!$C$14:$C$72,C278)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SUMIFS(RAB!$F$14:$F$72,RAB!$C$14:$C$72,C279)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SUMIFS(RAB!$F$14:$F$72,RAB!$C$14:$C$72,C280)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SUMIFS(RAB!$F$14:$F$72,RAB!$C$14:$C$72,C281)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SUMIFS(RAB!$F$14:$F$72,RAB!$C$14:$C$72,C282)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SUMIFS(RAB!$F$14:$F$72,RAB!$C$14:$C$72,C283)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SUMIFS(RAB!$F$14:$F$72,RAB!$C$14:$C$72,C284)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SUMIFS(RAB!$F$14:$F$72,RAB!$C$14:$C$72,C285)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SUMIFS(RAB!$F$14:$F$72,RAB!$C$14:$C$72,C286)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SUMIFS(RAB!$F$14:$F$72,RAB!$C$14:$C$72,C287)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SUMIFS(RAB!$F$14:$F$72,RAB!$C$14:$C$72,C288)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SUMIFS(RAB!$F$14:$F$72,RAB!$C$14:$C$72,C289)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SUMIFS(RAB!$F$14:$F$72,RAB!$C$14:$C$72,C290)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SUMIFS(RAB!$F$14:$F$72,RAB!$C$14:$C$72,C291)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SUMIFS(RAB!$F$14:$F$72,RAB!$C$14:$C$72,C292)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SUMIFS(RAB!$F$14:$F$72,RAB!$C$14:$C$72,C293)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SUMIFS(RAB!$F$14:$F$72,RAB!$C$14:$C$72,C294)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SUMIFS(RAB!$F$14:$F$72,RAB!$C$14:$C$72,C295)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SUMIFS(RAB!$F$14:$F$72,RAB!$C$14:$C$72,C296)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SUMIFS(RAB!$F$14:$F$72,RAB!$C$14:$C$72,C297)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SUMIFS(RAB!$F$14:$F$72,RAB!$C$14:$C$72,C298)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SUMIFS(RAB!$F$14:$F$72,RAB!$C$14:$C$72,C299)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SUMIFS(RAB!$F$14:$F$72,RAB!$C$14:$C$72,C300)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SUMIFS(RAB!$F$14:$F$72,RAB!$C$14:$C$72,C301)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SUMIFS(RAB!$F$14:$F$72,RAB!$C$14:$C$72,C302)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SUMIFS(RAB!$F$14:$F$72,RAB!$C$14:$C$72,C303)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SUMIFS(RAB!$F$14:$F$72,RAB!$C$14:$C$72,C304)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SUMIFS(RAB!$F$14:$F$72,RAB!$C$14:$C$72,C305)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SUMIFS(RAB!$F$14:$F$72,RAB!$C$14:$C$72,C306)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SUMIFS(RAB!$F$14:$F$72,RAB!$C$14:$C$72,C307)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SUMIFS(RAB!$F$14:$F$72,RAB!$C$14:$C$72,C308)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SUMIFS(RAB!$F$14:$F$72,RAB!$C$14:$C$72,C309)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SUMIFS(RAB!$F$14:$F$72,RAB!$C$14:$C$72,C310)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SUMIFS(RAB!$F$14:$F$72,RAB!$C$14:$C$72,C311)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SUMIFS(RAB!$F$14:$F$72,RAB!$C$14:$C$72,C312)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SUMIFS(RAB!$F$14:$F$72,RAB!$C$14:$C$72,C313)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SUMIFS(RAB!$F$14:$F$72,RAB!$C$14:$C$72,C314)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SUMIFS(RAB!$F$14:$F$72,RAB!$C$14:$C$72,C315)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SUMIFS(RAB!$F$14:$F$72,RAB!$C$14:$C$72,C316)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SUMIFS(RAB!$F$14:$F$72,RAB!$C$14:$C$72,C317)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SUMIFS(RAB!$F$14:$F$72,RAB!$C$14:$C$72,C318)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SUMIFS(RAB!$F$14:$F$72,RAB!$C$14:$C$72,C319)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SUMIFS(RAB!$F$14:$F$72,RAB!$C$14:$C$72,C320)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SUMIFS(RAB!$F$14:$F$72,RAB!$C$14:$C$72,C321)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SUMIFS(RAB!$F$14:$F$72,RAB!$C$14:$C$72,C322)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SUMIFS(RAB!$F$14:$F$72,RAB!$C$14:$C$72,C323)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SUMIFS(RAB!$F$14:$F$72,RAB!$C$14:$C$72,C324)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SUMIFS(RAB!$F$14:$F$72,RAB!$C$14:$C$72,C325)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SUMIFS(RAB!$F$14:$F$72,RAB!$C$14:$C$72,C326)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SUMIFS(RAB!$F$14:$F$72,RAB!$C$14:$C$72,C327)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SUMIFS(RAB!$F$14:$F$72,RAB!$C$14:$C$72,C328)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SUMIFS(RAB!$F$14:$F$72,RAB!$C$14:$C$72,C329)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SUMIFS(RAB!$F$14:$F$72,RAB!$C$14:$C$72,C330)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SUMIFS(RAB!$F$14:$F$72,RAB!$C$14:$C$72,C331)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SUMIFS(RAB!$F$14:$F$72,RAB!$C$14:$C$72,C332)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SUMIFS(RAB!$F$14:$F$72,RAB!$C$14:$C$72,C333)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SUMIFS(RAB!$F$14:$F$72,RAB!$C$14:$C$72,C334)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SUMIFS(RAB!$F$14:$F$72,RAB!$C$14:$C$72,C335)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SUMIFS(RAB!$F$14:$F$72,RAB!$C$14:$C$72,C336)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SUMIFS(RAB!$F$14:$F$72,RAB!$C$14:$C$72,C337)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SUMIFS(RAB!$F$14:$F$72,RAB!$C$14:$C$72,C338)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SUMIFS(RAB!$F$14:$F$72,RAB!$C$14:$C$72,C339)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SUMIFS(RAB!$F$14:$F$72,RAB!$C$14:$C$72,C340)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SUMIFS(RAB!$F$14:$F$72,RAB!$C$14:$C$72,C341)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SUMIFS(RAB!$F$14:$F$72,RAB!$C$14:$C$72,C342)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SUMIFS(RAB!$F$14:$F$72,RAB!$C$14:$C$72,C343)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SUMIFS(RAB!$F$14:$F$72,RAB!$C$14:$C$72,C344)</f>
        <v>100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SUMIFS(RAB!$F$14:$F$72,RAB!$C$14:$C$72,C345)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SUMIFS(RAB!$F$14:$F$72,RAB!$C$14:$C$72,C346)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SUMIFS(RAB!$F$14:$F$72,RAB!$C$14:$C$72,C347)</f>
        <v>175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SUMIFS(RAB!$F$14:$F$72,RAB!$C$14:$C$72,C348)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SUMIFS(RAB!$F$14:$F$72,RAB!$C$14:$C$72,C349)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SUMIFS(RAB!$F$14:$F$72,RAB!$C$14:$C$72,C350)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SUMIFS(RAB!$F$14:$F$72,RAB!$C$14:$C$72,C351)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SUMIFS(RAB!$F$14:$F$72,RAB!$C$14:$C$72,C352)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SUMIFS(RAB!$F$14:$F$72,RAB!$C$14:$C$72,C353)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SUMIFS(RAB!$F$14:$F$72,RAB!$C$14:$C$72,C354)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SUMIFS(RAB!$F$14:$F$72,RAB!$C$14:$C$72,C355)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SUMIFS(RAB!$F$14:$F$72,RAB!$C$14:$C$72,C356)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SUMIFS(RAB!$F$14:$F$72,RAB!$C$14:$C$72,C357)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SUMIFS(RAB!$F$14:$F$72,RAB!$C$14:$C$72,C358)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SUMIFS(RAB!$F$14:$F$72,RAB!$C$14:$C$72,C359)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SUMIFS(RAB!$F$14:$F$72,RAB!$C$14:$C$72,C360)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SUMIFS(RAB!$F$14:$F$72,RAB!$C$14:$C$72,C361)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SUMIFS(RAB!$F$14:$F$72,RAB!$C$14:$C$72,C362)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SUMIFS(RAB!$F$14:$F$72,RAB!$C$14:$C$72,C363)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SUMIFS(RAB!$F$14:$F$72,RAB!$C$14:$C$72,C364)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SUMIFS(RAB!$F$14:$F$72,RAB!$C$14:$C$72,C365)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SUMIFS(RAB!$F$14:$F$72,RAB!$C$14:$C$72,C366)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SUMIFS(RAB!$F$14:$F$72,RAB!$C$14:$C$72,C367)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SUMIFS(RAB!$F$14:$F$72,RAB!$C$14:$C$72,C368)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SUMIFS(RAB!$F$14:$F$72,RAB!$C$14:$C$72,C369)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SUMIFS(RAB!$F$14:$F$72,RAB!$C$14:$C$72,C370)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SUMIFS(RAB!$F$14:$F$72,RAB!$C$14:$C$72,C371)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SUMIFS(RAB!$F$14:$F$72,RAB!$C$14:$C$72,C372)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SUMIFS(RAB!$F$14:$F$72,RAB!$C$14:$C$72,C373)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1609</v>
      </c>
      <c r="G4" s="108" t="s">
        <v>1608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10" zoomScale="55" zoomScaleNormal="55" zoomScaleSheetLayoutView="85" workbookViewId="0">
      <selection activeCell="R16" sqref="R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7" t="s">
        <v>1454</v>
      </c>
      <c r="C2" s="587"/>
      <c r="D2" s="587"/>
      <c r="E2" s="58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2" t="s">
        <v>1532</v>
      </c>
      <c r="C4" s="593"/>
      <c r="D4" s="593"/>
      <c r="E4" s="594"/>
      <c r="F4" s="440"/>
      <c r="G4" s="440"/>
      <c r="H4" s="441"/>
      <c r="I4" s="556" t="s">
        <v>1533</v>
      </c>
      <c r="J4" s="557"/>
      <c r="K4" s="557"/>
      <c r="L4" s="558"/>
    </row>
    <row r="5" spans="1:12" ht="34.5" customHeight="1">
      <c r="A5" s="204"/>
      <c r="B5" s="443" t="s">
        <v>1379</v>
      </c>
      <c r="C5" s="277" t="s">
        <v>9</v>
      </c>
      <c r="D5" s="588" t="str">
        <f>DATA!D14</f>
        <v>KOS LC SARDIMAN</v>
      </c>
      <c r="E5" s="589"/>
      <c r="F5" s="208"/>
      <c r="G5" s="208"/>
      <c r="I5" s="444" t="s">
        <v>1379</v>
      </c>
      <c r="J5" s="277" t="s">
        <v>9</v>
      </c>
      <c r="K5" s="559" t="str">
        <f>D5</f>
        <v>KOS LC SARDIMAN</v>
      </c>
      <c r="L5" s="560"/>
    </row>
    <row r="6" spans="1:12" ht="31.5" customHeight="1">
      <c r="A6" s="204"/>
      <c r="B6" s="443" t="s">
        <v>1529</v>
      </c>
      <c r="C6" s="277" t="s">
        <v>9</v>
      </c>
      <c r="D6" s="597">
        <f>DATA!D17*1000</f>
        <v>0</v>
      </c>
      <c r="E6" s="598"/>
      <c r="F6" s="208"/>
      <c r="G6" s="208"/>
      <c r="I6" s="444" t="s">
        <v>1530</v>
      </c>
      <c r="J6" s="277" t="s">
        <v>9</v>
      </c>
      <c r="K6" s="561">
        <f>DATA!D20*1000</f>
        <v>6500</v>
      </c>
      <c r="L6" s="562"/>
    </row>
    <row r="7" spans="1:12" ht="30.75" customHeight="1">
      <c r="A7" s="204"/>
      <c r="B7" s="443" t="s">
        <v>1441</v>
      </c>
      <c r="C7" s="277" t="s">
        <v>9</v>
      </c>
      <c r="D7" s="595">
        <f>DATA!D18</f>
        <v>1</v>
      </c>
      <c r="E7" s="596"/>
      <c r="F7" s="442" t="s">
        <v>1453</v>
      </c>
      <c r="I7" s="444" t="s">
        <v>1441</v>
      </c>
      <c r="J7" s="277" t="s">
        <v>9</v>
      </c>
      <c r="K7" s="563">
        <f>DATA!D21</f>
        <v>1</v>
      </c>
      <c r="L7" s="564"/>
    </row>
    <row r="8" spans="1:12" ht="51" customHeight="1">
      <c r="A8" s="204"/>
      <c r="B8" s="443" t="s">
        <v>1442</v>
      </c>
      <c r="C8" s="277" t="s">
        <v>9</v>
      </c>
      <c r="D8" s="595">
        <f>DATA!D19</f>
        <v>220</v>
      </c>
      <c r="E8" s="596"/>
      <c r="F8" s="442" t="s">
        <v>1453</v>
      </c>
      <c r="G8" s="437">
        <v>220</v>
      </c>
      <c r="I8" s="444" t="s">
        <v>1442</v>
      </c>
      <c r="J8" s="277" t="s">
        <v>9</v>
      </c>
      <c r="K8" s="563">
        <f>DATA!D22</f>
        <v>220</v>
      </c>
      <c r="L8" s="564"/>
    </row>
    <row r="9" spans="1:12" ht="30" customHeight="1" thickBot="1">
      <c r="A9" s="204"/>
      <c r="B9" s="449" t="s">
        <v>1541</v>
      </c>
      <c r="C9" s="439" t="s">
        <v>9</v>
      </c>
      <c r="D9" s="590">
        <f>IF(D7=1,D6/(380/3^0.5),(D6/(380*3^0.5)))</f>
        <v>0</v>
      </c>
      <c r="E9" s="591"/>
      <c r="F9" s="207"/>
      <c r="G9" s="438">
        <v>380</v>
      </c>
      <c r="I9" s="450" t="s">
        <v>1541</v>
      </c>
      <c r="J9" s="439" t="s">
        <v>9</v>
      </c>
      <c r="K9" s="567">
        <f>IF(K7=1,K6/(380/3^0.5),(K6/(380*3^0.5)))</f>
        <v>29.627184866309744</v>
      </c>
      <c r="L9" s="568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99" t="s">
        <v>1626</v>
      </c>
      <c r="E12" s="600"/>
      <c r="F12" s="208"/>
      <c r="G12" s="208"/>
      <c r="I12" s="466" t="s">
        <v>1534</v>
      </c>
      <c r="J12" s="467" t="s">
        <v>9</v>
      </c>
      <c r="K12" s="599" t="s">
        <v>1626</v>
      </c>
      <c r="L12" s="600"/>
    </row>
    <row r="13" spans="1:12" ht="31.5" customHeight="1">
      <c r="A13" s="204"/>
      <c r="B13" s="474" t="s">
        <v>1380</v>
      </c>
      <c r="C13" s="454" t="s">
        <v>9</v>
      </c>
      <c r="D13" s="565" t="s">
        <v>1627</v>
      </c>
      <c r="E13" s="566"/>
      <c r="F13" s="208"/>
      <c r="G13" s="208"/>
      <c r="I13" s="468" t="s">
        <v>1380</v>
      </c>
      <c r="J13" s="454" t="s">
        <v>9</v>
      </c>
      <c r="K13" s="565" t="s">
        <v>1627</v>
      </c>
      <c r="L13" s="566"/>
    </row>
    <row r="14" spans="1:12" ht="30.75" customHeight="1">
      <c r="A14" s="204"/>
      <c r="B14" s="474" t="s">
        <v>1535</v>
      </c>
      <c r="C14" s="454" t="s">
        <v>9</v>
      </c>
      <c r="D14" s="569">
        <v>50</v>
      </c>
      <c r="E14" s="570"/>
      <c r="F14" s="442" t="s">
        <v>1453</v>
      </c>
      <c r="G14" s="446">
        <v>50</v>
      </c>
      <c r="I14" s="468" t="s">
        <v>1535</v>
      </c>
      <c r="J14" s="454" t="s">
        <v>9</v>
      </c>
      <c r="K14" s="571">
        <v>50</v>
      </c>
      <c r="L14" s="572"/>
    </row>
    <row r="15" spans="1:12" ht="57" customHeight="1">
      <c r="A15" s="204"/>
      <c r="B15" s="474" t="s">
        <v>1441</v>
      </c>
      <c r="C15" s="454" t="s">
        <v>9</v>
      </c>
      <c r="D15" s="460">
        <v>1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1</v>
      </c>
      <c r="L15" s="469"/>
    </row>
    <row r="16" spans="1:12" ht="44.25" customHeight="1">
      <c r="A16" s="204"/>
      <c r="B16" s="474" t="s">
        <v>1545</v>
      </c>
      <c r="C16" s="454"/>
      <c r="D16" s="573">
        <f>63+10</f>
        <v>73</v>
      </c>
      <c r="E16" s="574"/>
      <c r="F16" s="442"/>
      <c r="G16" s="446">
        <v>160</v>
      </c>
      <c r="I16" s="468" t="s">
        <v>1537</v>
      </c>
      <c r="J16" s="454" t="s">
        <v>9</v>
      </c>
      <c r="K16" s="577">
        <f>K9</f>
        <v>29.627184866309744</v>
      </c>
      <c r="L16" s="578"/>
    </row>
    <row r="17" spans="1:12" ht="34.5" customHeight="1">
      <c r="A17" s="204"/>
      <c r="B17" s="474" t="s">
        <v>1538</v>
      </c>
      <c r="C17" s="454" t="s">
        <v>9</v>
      </c>
      <c r="D17" s="575">
        <f>IF(D15=1,D14/(20/3^0.5),(D14/(20*3^0.5)))</f>
        <v>4.3301270189221928</v>
      </c>
      <c r="E17" s="576"/>
      <c r="F17" s="442" t="s">
        <v>1453</v>
      </c>
      <c r="G17" s="447">
        <v>200</v>
      </c>
      <c r="I17" s="468" t="s">
        <v>1538</v>
      </c>
      <c r="J17" s="454" t="s">
        <v>9</v>
      </c>
      <c r="K17" s="581">
        <f>IF(K15=1,K14/(20/3^0.5),(K14/(20*3^0.5)))</f>
        <v>4.3301270189221928</v>
      </c>
      <c r="L17" s="582"/>
    </row>
    <row r="18" spans="1:12" ht="34.5" customHeight="1">
      <c r="A18" s="204"/>
      <c r="B18" s="474" t="s">
        <v>1539</v>
      </c>
      <c r="C18" s="454" t="s">
        <v>9</v>
      </c>
      <c r="D18" s="575">
        <f>IF(D15=1,D14/(380/3^0.5),(D14/(380*3^0.5)))*1000</f>
        <v>227.90142204853646</v>
      </c>
      <c r="E18" s="576"/>
      <c r="F18" s="442" t="s">
        <v>1453</v>
      </c>
      <c r="G18" s="447">
        <v>250</v>
      </c>
      <c r="I18" s="468" t="s">
        <v>1539</v>
      </c>
      <c r="J18" s="454" t="s">
        <v>9</v>
      </c>
      <c r="K18" s="581">
        <f>IF(K15=1,K14/(380/3^0.5),(K14/(380*3^0.5)))*1000</f>
        <v>227.90142204853646</v>
      </c>
      <c r="L18" s="582"/>
    </row>
    <row r="19" spans="1:12" ht="30" customHeight="1">
      <c r="A19" s="204"/>
      <c r="B19" s="475" t="s">
        <v>1531</v>
      </c>
      <c r="C19" s="453" t="s">
        <v>9</v>
      </c>
      <c r="D19" s="575">
        <f>IF(D15=1,D14/(380/3^0.5),(D14/(380*3^0.5)))</f>
        <v>0.22790142204853647</v>
      </c>
      <c r="E19" s="576"/>
      <c r="F19" s="207"/>
      <c r="G19" s="438"/>
      <c r="I19" s="470" t="s">
        <v>1531</v>
      </c>
      <c r="J19" s="453" t="s">
        <v>9</v>
      </c>
      <c r="K19" s="581">
        <f>IF(K15=1,K14/(380/3^0.5),(K14/(380*3^0.5)))</f>
        <v>0.22790142204853647</v>
      </c>
      <c r="L19" s="582"/>
    </row>
    <row r="20" spans="1:12" ht="30" customHeight="1" thickBot="1">
      <c r="A20" s="204"/>
      <c r="B20" s="476" t="s">
        <v>1540</v>
      </c>
      <c r="C20" s="472" t="s">
        <v>9</v>
      </c>
      <c r="D20" s="601">
        <f>D16/D18</f>
        <v>0.3203139293464044</v>
      </c>
      <c r="E20" s="602"/>
      <c r="F20" s="207"/>
      <c r="G20" s="438"/>
      <c r="I20" s="471" t="s">
        <v>1531</v>
      </c>
      <c r="J20" s="472" t="s">
        <v>9</v>
      </c>
      <c r="K20" s="579">
        <f>K16/K18</f>
        <v>0.13</v>
      </c>
      <c r="L20" s="580"/>
    </row>
    <row r="21" spans="1:12" ht="9.75" customHeight="1">
      <c r="A21" s="204"/>
      <c r="B21" s="461" t="s">
        <v>1540</v>
      </c>
      <c r="C21" s="462" t="s">
        <v>9</v>
      </c>
      <c r="D21" s="586">
        <v>1</v>
      </c>
      <c r="E21" s="586"/>
      <c r="F21" s="463"/>
      <c r="G21" s="464"/>
      <c r="H21" s="465"/>
      <c r="I21" s="461" t="s">
        <v>1531</v>
      </c>
      <c r="J21" s="462" t="s">
        <v>9</v>
      </c>
      <c r="K21" s="586">
        <v>1</v>
      </c>
      <c r="L21" s="586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59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6298500</v>
      </c>
    </row>
    <row r="10" spans="2:11" ht="20.100000000000001" customHeight="1">
      <c r="B10" s="291" t="s">
        <v>1446</v>
      </c>
      <c r="C10" s="292" t="s">
        <v>9</v>
      </c>
      <c r="D10" s="298">
        <f ca="1">RAB!K78</f>
        <v>23443176.051750001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468863.52103500004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1632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1629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f>5*1.3</f>
        <v>6.5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1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220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1" t="s">
        <v>1357</v>
      </c>
      <c r="C3" s="611"/>
      <c r="D3" s="611"/>
      <c r="E3" s="611"/>
      <c r="F3" s="305" t="str">
        <f>DATA!D14</f>
        <v>KOS LC SARDIMAN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10" t="s">
        <v>1359</v>
      </c>
      <c r="E5" s="610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8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06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9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7">
        <f>DATA!D8*DATA!D26*10</f>
        <v>2600</v>
      </c>
      <c r="D7" s="316">
        <f>C7*4/24</f>
        <v>433.33333333333331</v>
      </c>
      <c r="E7" s="316">
        <f>C7-D7</f>
        <v>2166.6666666666665</v>
      </c>
      <c r="F7" s="317">
        <f ca="1">DATA!D10/1000000</f>
        <v>23.443176051750001</v>
      </c>
      <c r="G7" s="318">
        <f ca="1">DATA!$D$11/1000000</f>
        <v>0.46886352103500006</v>
      </c>
      <c r="H7" s="318">
        <f>C7*DATA!$D$5/1000000</f>
        <v>2.8187251193051184</v>
      </c>
      <c r="I7" s="318">
        <f>(C7*DATA!$D$5*DATA!$D$7)/1000000</f>
        <v>6.3421315184365168E-2</v>
      </c>
      <c r="J7" s="316">
        <f ca="1">SUM(F7:I7)</f>
        <v>26.794186007274483</v>
      </c>
      <c r="K7" s="319">
        <f>DATA!D9/1000000</f>
        <v>6.2984999999999998</v>
      </c>
      <c r="L7" s="316">
        <f>((D7*DATA!$D$23)/1000000)+((E7*DATA!$D$24)/1000000)</f>
        <v>3.7562199999999999</v>
      </c>
      <c r="M7" s="316">
        <f>K7+L7</f>
        <v>10.05472</v>
      </c>
      <c r="N7" s="316">
        <f ca="1">M7-J7</f>
        <v>-16.739466007274483</v>
      </c>
      <c r="O7" s="314">
        <v>1</v>
      </c>
      <c r="P7" s="316">
        <f ca="1">O7*N7</f>
        <v>-16.739466007274483</v>
      </c>
      <c r="Q7" s="316">
        <f ca="1">P7</f>
        <v>-16.739466007274483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3120</v>
      </c>
      <c r="D8" s="316">
        <f>C8*4/24</f>
        <v>520</v>
      </c>
      <c r="E8" s="316">
        <f t="shared" ref="E8:E32" si="0">C8-D8</f>
        <v>2600</v>
      </c>
      <c r="F8" s="314"/>
      <c r="G8" s="318">
        <f ca="1">DATA!$D$11/1000000</f>
        <v>0.46886352103500006</v>
      </c>
      <c r="H8" s="318">
        <f>C8*DATA!$D$5/1000000</f>
        <v>3.3824701431661426</v>
      </c>
      <c r="I8" s="318">
        <f>(C8*DATA!$D$5*DATA!$D$7)/1000000</f>
        <v>7.6105578221238201E-2</v>
      </c>
      <c r="J8" s="316">
        <f t="shared" ref="J8:J32" ca="1" si="1">SUM(F8:I8)</f>
        <v>3.9274392424223805</v>
      </c>
      <c r="K8" s="321"/>
      <c r="L8" s="316">
        <f>((D8*DATA!$D$23)/1000000)+((E8*DATA!$D$24)/1000000)</f>
        <v>4.5074639999999997</v>
      </c>
      <c r="M8" s="316">
        <f t="shared" ref="M8:M32" si="2">K8+L8</f>
        <v>4.5074639999999997</v>
      </c>
      <c r="N8" s="316">
        <f ca="1">M8-J8</f>
        <v>0.58002475757761918</v>
      </c>
      <c r="O8" s="315">
        <f>1/(1+'[92]Asumsi I'!$C$3)^(KKF!A8)</f>
        <v>0.89285714285714279</v>
      </c>
      <c r="P8" s="316">
        <f ca="1">O8*N8</f>
        <v>0.51787924783715999</v>
      </c>
      <c r="Q8" s="316">
        <f ca="1">Q7+P8</f>
        <v>-16.221586759437322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3120</v>
      </c>
      <c r="D9" s="316">
        <f t="shared" ref="D9:D32" si="5">C9*4/24</f>
        <v>520</v>
      </c>
      <c r="E9" s="316">
        <f t="shared" si="0"/>
        <v>2600</v>
      </c>
      <c r="F9" s="314"/>
      <c r="G9" s="318">
        <f ca="1">DATA!$D$11/1000000</f>
        <v>0.46886352103500006</v>
      </c>
      <c r="H9" s="318">
        <f>C9*DATA!$D$5/1000000</f>
        <v>3.3824701431661426</v>
      </c>
      <c r="I9" s="318">
        <f>(C9*DATA!$D$5*DATA!$D$7)/1000000</f>
        <v>7.6105578221238201E-2</v>
      </c>
      <c r="J9" s="316">
        <f t="shared" ca="1" si="1"/>
        <v>3.9274392424223805</v>
      </c>
      <c r="K9" s="316"/>
      <c r="L9" s="316">
        <f>((D9*DATA!$D$23)/1000000)+((E9*DATA!$D$24)/1000000)</f>
        <v>4.5074639999999997</v>
      </c>
      <c r="M9" s="316">
        <f t="shared" si="2"/>
        <v>4.5074639999999997</v>
      </c>
      <c r="N9" s="316">
        <f t="shared" ref="N9:N32" ca="1" si="6">M9-J9</f>
        <v>0.58002475757761918</v>
      </c>
      <c r="O9" s="322">
        <f>1/(1+'[92]Asumsi I'!$C$3)^(KKF!A9)</f>
        <v>0.79719387755102034</v>
      </c>
      <c r="P9" s="316">
        <f t="shared" ref="P9:P32" ca="1" si="7">O9*N9</f>
        <v>0.46239218556889278</v>
      </c>
      <c r="Q9" s="316">
        <f ca="1">Q8+P9</f>
        <v>-15.759194573868429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3120</v>
      </c>
      <c r="D10" s="316">
        <f t="shared" si="5"/>
        <v>520</v>
      </c>
      <c r="E10" s="316">
        <f t="shared" si="0"/>
        <v>2600</v>
      </c>
      <c r="F10" s="314"/>
      <c r="G10" s="318">
        <f ca="1">DATA!$D$11/1000000</f>
        <v>0.46886352103500006</v>
      </c>
      <c r="H10" s="318">
        <f>C10*DATA!$D$5/1000000</f>
        <v>3.3824701431661426</v>
      </c>
      <c r="I10" s="318">
        <f>(C10*DATA!$D$5*DATA!$D$7)/1000000</f>
        <v>7.6105578221238201E-2</v>
      </c>
      <c r="J10" s="316">
        <f t="shared" ca="1" si="1"/>
        <v>3.9274392424223805</v>
      </c>
      <c r="K10" s="314"/>
      <c r="L10" s="316">
        <f>((D10*DATA!$D$23)/1000000)+((E10*DATA!$D$24)/1000000)</f>
        <v>4.5074639999999997</v>
      </c>
      <c r="M10" s="316">
        <f t="shared" si="2"/>
        <v>4.5074639999999997</v>
      </c>
      <c r="N10" s="316">
        <f t="shared" ca="1" si="6"/>
        <v>0.58002475757761918</v>
      </c>
      <c r="O10" s="315">
        <f>1/(1+'[92]Asumsi I'!$C$3)^(KKF!A10)</f>
        <v>0.71178024781341087</v>
      </c>
      <c r="P10" s="316">
        <f t="shared" ca="1" si="7"/>
        <v>0.41285016568651134</v>
      </c>
      <c r="Q10" s="316">
        <f t="shared" ref="Q10:Q30" ca="1" si="9">Q9+P10</f>
        <v>-15.346344408181917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3120</v>
      </c>
      <c r="D11" s="316">
        <f t="shared" si="5"/>
        <v>520</v>
      </c>
      <c r="E11" s="316">
        <f t="shared" si="0"/>
        <v>2600</v>
      </c>
      <c r="F11" s="314"/>
      <c r="G11" s="318">
        <f ca="1">DATA!$D$11/1000000</f>
        <v>0.46886352103500006</v>
      </c>
      <c r="H11" s="318">
        <f>C11*DATA!$D$5/1000000</f>
        <v>3.3824701431661426</v>
      </c>
      <c r="I11" s="318">
        <f>(C11*DATA!$D$5*DATA!$D$7)/1000000</f>
        <v>7.6105578221238201E-2</v>
      </c>
      <c r="J11" s="316">
        <f t="shared" ca="1" si="1"/>
        <v>3.9274392424223805</v>
      </c>
      <c r="K11" s="314"/>
      <c r="L11" s="316">
        <f>((D11*DATA!$D$23)/1000000)+((E11*DATA!$D$24)/1000000)</f>
        <v>4.5074639999999997</v>
      </c>
      <c r="M11" s="316">
        <f t="shared" si="2"/>
        <v>4.5074639999999997</v>
      </c>
      <c r="N11" s="316">
        <f t="shared" ca="1" si="6"/>
        <v>0.58002475757761918</v>
      </c>
      <c r="O11" s="315">
        <f>1/(1+'[92]Asumsi I'!$C$3)^(KKF!A11)</f>
        <v>0.63551807840483121</v>
      </c>
      <c r="P11" s="316">
        <f t="shared" ca="1" si="7"/>
        <v>0.36861621936295658</v>
      </c>
      <c r="Q11" s="316">
        <f t="shared" ca="1" si="9"/>
        <v>-14.97772818881896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3120</v>
      </c>
      <c r="D12" s="316">
        <f t="shared" si="5"/>
        <v>520</v>
      </c>
      <c r="E12" s="316">
        <f t="shared" si="0"/>
        <v>2600</v>
      </c>
      <c r="F12" s="314"/>
      <c r="G12" s="318">
        <f ca="1">DATA!$D$11/1000000</f>
        <v>0.46886352103500006</v>
      </c>
      <c r="H12" s="318">
        <f>C12*DATA!$D$5/1000000</f>
        <v>3.3824701431661426</v>
      </c>
      <c r="I12" s="318">
        <f>(C12*DATA!$D$5*DATA!$D$7)/1000000</f>
        <v>7.6105578221238201E-2</v>
      </c>
      <c r="J12" s="316">
        <f t="shared" ca="1" si="1"/>
        <v>3.9274392424223805</v>
      </c>
      <c r="K12" s="314"/>
      <c r="L12" s="316">
        <f>((D12*DATA!$D$23)/1000000)+((E12*DATA!$D$24)/1000000)</f>
        <v>4.5074639999999997</v>
      </c>
      <c r="M12" s="316">
        <f t="shared" si="2"/>
        <v>4.5074639999999997</v>
      </c>
      <c r="N12" s="316">
        <f t="shared" ca="1" si="6"/>
        <v>0.58002475757761918</v>
      </c>
      <c r="O12" s="315">
        <f>1/(1+'[92]Asumsi I'!$C$3)^(KKF!A12)</f>
        <v>0.56742685571859919</v>
      </c>
      <c r="P12" s="316">
        <f t="shared" ca="1" si="7"/>
        <v>0.32912162443121118</v>
      </c>
      <c r="Q12" s="316">
        <f t="shared" ca="1" si="9"/>
        <v>-14.648606564387748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3120</v>
      </c>
      <c r="D13" s="316">
        <f t="shared" si="5"/>
        <v>520</v>
      </c>
      <c r="E13" s="316">
        <f t="shared" si="0"/>
        <v>2600</v>
      </c>
      <c r="F13" s="314"/>
      <c r="G13" s="318">
        <f ca="1">DATA!$D$11/1000000</f>
        <v>0.46886352103500006</v>
      </c>
      <c r="H13" s="318">
        <f>C13*DATA!$D$5/1000000</f>
        <v>3.3824701431661426</v>
      </c>
      <c r="I13" s="318">
        <f>(C13*DATA!$D$5*DATA!$D$7)/1000000</f>
        <v>7.6105578221238201E-2</v>
      </c>
      <c r="J13" s="316">
        <f t="shared" ca="1" si="1"/>
        <v>3.9274392424223805</v>
      </c>
      <c r="K13" s="314"/>
      <c r="L13" s="316">
        <f>((D13*DATA!$D$23)/1000000)+((E13*DATA!$D$24)/1000000)</f>
        <v>4.5074639999999997</v>
      </c>
      <c r="M13" s="316">
        <f t="shared" si="2"/>
        <v>4.5074639999999997</v>
      </c>
      <c r="N13" s="316">
        <f t="shared" ca="1" si="6"/>
        <v>0.58002475757761918</v>
      </c>
      <c r="O13" s="315">
        <f>1/(1+'[92]Asumsi I'!$C$3)^(KKF!A13)</f>
        <v>0.50663112117732068</v>
      </c>
      <c r="P13" s="316">
        <f t="shared" ca="1" si="7"/>
        <v>0.29385859324215285</v>
      </c>
      <c r="Q13" s="316">
        <f t="shared" ca="1" si="9"/>
        <v>-14.354747971145596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3120</v>
      </c>
      <c r="D14" s="316">
        <f t="shared" si="5"/>
        <v>520</v>
      </c>
      <c r="E14" s="316">
        <f t="shared" si="0"/>
        <v>2600</v>
      </c>
      <c r="F14" s="314"/>
      <c r="G14" s="318">
        <f ca="1">DATA!$D$11/1000000</f>
        <v>0.46886352103500006</v>
      </c>
      <c r="H14" s="318">
        <f>C14*DATA!$D$5/1000000</f>
        <v>3.3824701431661426</v>
      </c>
      <c r="I14" s="318">
        <f>(C14*DATA!$D$5*DATA!$D$7)/1000000</f>
        <v>7.6105578221238201E-2</v>
      </c>
      <c r="J14" s="316">
        <f t="shared" ca="1" si="1"/>
        <v>3.9274392424223805</v>
      </c>
      <c r="K14" s="314"/>
      <c r="L14" s="316">
        <f>((D14*DATA!$D$23)/1000000)+((E14*DATA!$D$24)/1000000)</f>
        <v>4.5074639999999997</v>
      </c>
      <c r="M14" s="316">
        <f t="shared" si="2"/>
        <v>4.5074639999999997</v>
      </c>
      <c r="N14" s="316">
        <f t="shared" ca="1" si="6"/>
        <v>0.58002475757761918</v>
      </c>
      <c r="O14" s="315">
        <f>1/(1+'[92]Asumsi I'!$C$3)^(KKF!A14)</f>
        <v>0.45234921533689343</v>
      </c>
      <c r="P14" s="316">
        <f t="shared" ca="1" si="7"/>
        <v>0.26237374396620788</v>
      </c>
      <c r="Q14" s="316">
        <f t="shared" ca="1" si="9"/>
        <v>-14.092374227179388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3120</v>
      </c>
      <c r="D15" s="316">
        <f t="shared" si="5"/>
        <v>520</v>
      </c>
      <c r="E15" s="316">
        <f t="shared" si="0"/>
        <v>2600</v>
      </c>
      <c r="F15" s="314"/>
      <c r="G15" s="318">
        <f ca="1">DATA!$D$11/1000000</f>
        <v>0.46886352103500006</v>
      </c>
      <c r="H15" s="318">
        <f>C15*DATA!$D$5/1000000</f>
        <v>3.3824701431661426</v>
      </c>
      <c r="I15" s="318">
        <f>(C15*DATA!$D$5*DATA!$D$7)/1000000</f>
        <v>7.6105578221238201E-2</v>
      </c>
      <c r="J15" s="316">
        <f t="shared" ca="1" si="1"/>
        <v>3.9274392424223805</v>
      </c>
      <c r="K15" s="314"/>
      <c r="L15" s="316">
        <f>((D15*DATA!$D$23)/1000000)+((E15*DATA!$D$24)/1000000)</f>
        <v>4.5074639999999997</v>
      </c>
      <c r="M15" s="316">
        <f t="shared" si="2"/>
        <v>4.5074639999999997</v>
      </c>
      <c r="N15" s="316">
        <f t="shared" ca="1" si="6"/>
        <v>0.58002475757761918</v>
      </c>
      <c r="O15" s="315">
        <f>1/(1+'[92]Asumsi I'!$C$3)^(KKF!A15)</f>
        <v>0.4038832279793691</v>
      </c>
      <c r="P15" s="316">
        <f t="shared" ca="1" si="7"/>
        <v>0.23426227139839986</v>
      </c>
      <c r="Q15" s="316">
        <f t="shared" ca="1" si="9"/>
        <v>-13.858111955780988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3120</v>
      </c>
      <c r="D16" s="316">
        <f t="shared" si="5"/>
        <v>520</v>
      </c>
      <c r="E16" s="316">
        <f t="shared" si="0"/>
        <v>2600</v>
      </c>
      <c r="F16" s="314"/>
      <c r="G16" s="318">
        <f ca="1">DATA!$D$11/1000000</f>
        <v>0.46886352103500006</v>
      </c>
      <c r="H16" s="318">
        <f>C16*DATA!$D$5/1000000</f>
        <v>3.3824701431661426</v>
      </c>
      <c r="I16" s="318">
        <f>(C16*DATA!$D$5*DATA!$D$7)/1000000</f>
        <v>7.6105578221238201E-2</v>
      </c>
      <c r="J16" s="316">
        <f t="shared" ca="1" si="1"/>
        <v>3.9274392424223805</v>
      </c>
      <c r="K16" s="314"/>
      <c r="L16" s="316">
        <f>((D16*DATA!$D$23)/1000000)+((E16*DATA!$D$24)/1000000)</f>
        <v>4.5074639999999997</v>
      </c>
      <c r="M16" s="316">
        <f t="shared" si="2"/>
        <v>4.5074639999999997</v>
      </c>
      <c r="N16" s="316">
        <f t="shared" ca="1" si="6"/>
        <v>0.58002475757761918</v>
      </c>
      <c r="O16" s="315">
        <f>1/(1+'[92]Asumsi I'!$C$3)^(KKF!A16)</f>
        <v>0.36061002498157957</v>
      </c>
      <c r="P16" s="316">
        <f t="shared" ca="1" si="7"/>
        <v>0.20916274231999987</v>
      </c>
      <c r="Q16" s="316">
        <f t="shared" ca="1" si="9"/>
        <v>-13.648949213460988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3120</v>
      </c>
      <c r="D17" s="316">
        <f t="shared" si="5"/>
        <v>520</v>
      </c>
      <c r="E17" s="316">
        <f t="shared" si="0"/>
        <v>2600</v>
      </c>
      <c r="F17" s="314"/>
      <c r="G17" s="318">
        <f ca="1">DATA!$D$11/1000000</f>
        <v>0.46886352103500006</v>
      </c>
      <c r="H17" s="318">
        <f>C17*DATA!$D$5/1000000</f>
        <v>3.3824701431661426</v>
      </c>
      <c r="I17" s="318">
        <f>(C17*DATA!$D$5*DATA!$D$7)/1000000</f>
        <v>7.6105578221238201E-2</v>
      </c>
      <c r="J17" s="316">
        <f t="shared" ca="1" si="1"/>
        <v>3.9274392424223805</v>
      </c>
      <c r="K17" s="314"/>
      <c r="L17" s="316">
        <f>((D17*DATA!$D$23)/1000000)+((E17*DATA!$D$24)/1000000)</f>
        <v>4.5074639999999997</v>
      </c>
      <c r="M17" s="316">
        <f t="shared" si="2"/>
        <v>4.5074639999999997</v>
      </c>
      <c r="N17" s="316">
        <f t="shared" ca="1" si="6"/>
        <v>0.58002475757761918</v>
      </c>
      <c r="O17" s="315">
        <f>1/(1+'[92]Asumsi I'!$C$3)^(KKF!A17)</f>
        <v>0.32197323659069599</v>
      </c>
      <c r="P17" s="316">
        <f t="shared" ca="1" si="7"/>
        <v>0.18675244849999986</v>
      </c>
      <c r="Q17" s="316">
        <f t="shared" ca="1" si="9"/>
        <v>-13.462196764960987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3120</v>
      </c>
      <c r="D18" s="316">
        <f t="shared" si="5"/>
        <v>520</v>
      </c>
      <c r="E18" s="316">
        <f t="shared" si="0"/>
        <v>2600</v>
      </c>
      <c r="F18" s="314"/>
      <c r="G18" s="318">
        <f ca="1">DATA!$D$11/1000000</f>
        <v>0.46886352103500006</v>
      </c>
      <c r="H18" s="318">
        <f>C18*DATA!$D$5/1000000</f>
        <v>3.3824701431661426</v>
      </c>
      <c r="I18" s="318">
        <f>(C18*DATA!$D$5*DATA!$D$7)/1000000</f>
        <v>7.6105578221238201E-2</v>
      </c>
      <c r="J18" s="316">
        <f t="shared" ca="1" si="1"/>
        <v>3.9274392424223805</v>
      </c>
      <c r="K18" s="314"/>
      <c r="L18" s="316">
        <f>((D18*DATA!$D$23)/1000000)+((E18*DATA!$D$24)/1000000)</f>
        <v>4.5074639999999997</v>
      </c>
      <c r="M18" s="316">
        <f t="shared" si="2"/>
        <v>4.5074639999999997</v>
      </c>
      <c r="N18" s="316">
        <f t="shared" ca="1" si="6"/>
        <v>0.58002475757761918</v>
      </c>
      <c r="O18" s="315">
        <f>1/(1+'[92]Asumsi I'!$C$3)^(KKF!A18)</f>
        <v>0.28747610409883567</v>
      </c>
      <c r="P18" s="316">
        <f t="shared" ca="1" si="7"/>
        <v>0.16674325758928557</v>
      </c>
      <c r="Q18" s="316">
        <f t="shared" ca="1" si="9"/>
        <v>-13.295453507371702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3120</v>
      </c>
      <c r="D19" s="316">
        <f t="shared" si="5"/>
        <v>520</v>
      </c>
      <c r="E19" s="316">
        <f t="shared" si="0"/>
        <v>2600</v>
      </c>
      <c r="F19" s="314"/>
      <c r="G19" s="318">
        <f ca="1">DATA!$D$11/1000000</f>
        <v>0.46886352103500006</v>
      </c>
      <c r="H19" s="318">
        <f>C19*DATA!$D$5/1000000</f>
        <v>3.3824701431661426</v>
      </c>
      <c r="I19" s="318">
        <f>(C19*DATA!$D$5*DATA!$D$7)/1000000</f>
        <v>7.6105578221238201E-2</v>
      </c>
      <c r="J19" s="316">
        <f t="shared" ca="1" si="1"/>
        <v>3.9274392424223805</v>
      </c>
      <c r="K19" s="314"/>
      <c r="L19" s="316">
        <f>((D19*DATA!$D$23)/1000000)+((E19*DATA!$D$24)/1000000)</f>
        <v>4.5074639999999997</v>
      </c>
      <c r="M19" s="316">
        <f t="shared" si="2"/>
        <v>4.5074639999999997</v>
      </c>
      <c r="N19" s="316">
        <f t="shared" ca="1" si="6"/>
        <v>0.58002475757761918</v>
      </c>
      <c r="O19" s="315">
        <f>1/(1+'[92]Asumsi I'!$C$3)^(KKF!A19)</f>
        <v>0.25667509294538904</v>
      </c>
      <c r="P19" s="316">
        <f t="shared" ca="1" si="7"/>
        <v>0.14887790856186214</v>
      </c>
      <c r="Q19" s="316">
        <f t="shared" ca="1" si="9"/>
        <v>-13.146575598809839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3120</v>
      </c>
      <c r="D20" s="316">
        <f t="shared" si="5"/>
        <v>520</v>
      </c>
      <c r="E20" s="316">
        <f t="shared" si="0"/>
        <v>2600</v>
      </c>
      <c r="F20" s="314"/>
      <c r="G20" s="318">
        <f ca="1">DATA!$D$11/1000000</f>
        <v>0.46886352103500006</v>
      </c>
      <c r="H20" s="318">
        <f>C20*DATA!$D$5/1000000</f>
        <v>3.3824701431661426</v>
      </c>
      <c r="I20" s="318">
        <f>(C20*DATA!$D$5*DATA!$D$7)/1000000</f>
        <v>7.6105578221238201E-2</v>
      </c>
      <c r="J20" s="316">
        <f t="shared" ca="1" si="1"/>
        <v>3.9274392424223805</v>
      </c>
      <c r="K20" s="314"/>
      <c r="L20" s="316">
        <f>((D20*DATA!$D$23)/1000000)+((E20*DATA!$D$24)/1000000)</f>
        <v>4.5074639999999997</v>
      </c>
      <c r="M20" s="316">
        <f t="shared" si="2"/>
        <v>4.5074639999999997</v>
      </c>
      <c r="N20" s="316">
        <f t="shared" ca="1" si="6"/>
        <v>0.58002475757761918</v>
      </c>
      <c r="O20" s="315">
        <f>1/(1+'[92]Asumsi I'!$C$3)^(KKF!A20)</f>
        <v>0.22917419012981158</v>
      </c>
      <c r="P20" s="316">
        <f t="shared" ca="1" si="7"/>
        <v>0.13292670407309118</v>
      </c>
      <c r="Q20" s="316">
        <f t="shared" ca="1" si="9"/>
        <v>-13.013648894736749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3120</v>
      </c>
      <c r="D21" s="316">
        <f t="shared" si="5"/>
        <v>520</v>
      </c>
      <c r="E21" s="316">
        <f t="shared" si="0"/>
        <v>2600</v>
      </c>
      <c r="F21" s="314"/>
      <c r="G21" s="318">
        <f ca="1">DATA!$D$11/1000000</f>
        <v>0.46886352103500006</v>
      </c>
      <c r="H21" s="318">
        <f>C21*DATA!$D$5/1000000</f>
        <v>3.3824701431661426</v>
      </c>
      <c r="I21" s="318">
        <f>(C21*DATA!$D$5*DATA!$D$7)/1000000</f>
        <v>7.6105578221238201E-2</v>
      </c>
      <c r="J21" s="316">
        <f t="shared" ca="1" si="1"/>
        <v>3.9274392424223805</v>
      </c>
      <c r="K21" s="314"/>
      <c r="L21" s="316">
        <f>((D21*DATA!$D$23)/1000000)+((E21*DATA!$D$24)/1000000)</f>
        <v>4.5074639999999997</v>
      </c>
      <c r="M21" s="316">
        <f t="shared" si="2"/>
        <v>4.5074639999999997</v>
      </c>
      <c r="N21" s="316">
        <f t="shared" ca="1" si="6"/>
        <v>0.58002475757761918</v>
      </c>
      <c r="O21" s="315">
        <f>1/(1+'[92]Asumsi I'!$C$3)^(KKF!A21)</f>
        <v>0.20461981261590317</v>
      </c>
      <c r="P21" s="316">
        <f t="shared" ca="1" si="7"/>
        <v>0.1186845572081171</v>
      </c>
      <c r="Q21" s="316">
        <f t="shared" ca="1" si="9"/>
        <v>-12.894964337528631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3120</v>
      </c>
      <c r="D22" s="316">
        <f t="shared" si="5"/>
        <v>520</v>
      </c>
      <c r="E22" s="316">
        <f t="shared" si="0"/>
        <v>2600</v>
      </c>
      <c r="F22" s="314"/>
      <c r="G22" s="318">
        <f ca="1">DATA!$D$11/1000000</f>
        <v>0.46886352103500006</v>
      </c>
      <c r="H22" s="318">
        <f>C22*DATA!$D$5/1000000</f>
        <v>3.3824701431661426</v>
      </c>
      <c r="I22" s="318">
        <f>(C22*DATA!$D$5*DATA!$D$7)/1000000</f>
        <v>7.6105578221238201E-2</v>
      </c>
      <c r="J22" s="316">
        <f t="shared" ca="1" si="1"/>
        <v>3.9274392424223805</v>
      </c>
      <c r="K22" s="314"/>
      <c r="L22" s="316">
        <f>((D22*DATA!$D$23)/1000000)+((E22*DATA!$D$24)/1000000)</f>
        <v>4.5074639999999997</v>
      </c>
      <c r="M22" s="316">
        <f t="shared" si="2"/>
        <v>4.5074639999999997</v>
      </c>
      <c r="N22" s="316">
        <f t="shared" ca="1" si="6"/>
        <v>0.58002475757761918</v>
      </c>
      <c r="O22" s="315">
        <f>1/(1+'[92]Asumsi I'!$C$3)^(KKF!A22)</f>
        <v>0.18269626126419927</v>
      </c>
      <c r="P22" s="316">
        <f t="shared" ca="1" si="7"/>
        <v>0.10596835465010455</v>
      </c>
      <c r="Q22" s="316">
        <f t="shared" ca="1" si="9"/>
        <v>-12.788995982878527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3120</v>
      </c>
      <c r="D23" s="316">
        <f t="shared" si="5"/>
        <v>520</v>
      </c>
      <c r="E23" s="316">
        <f t="shared" si="0"/>
        <v>2600</v>
      </c>
      <c r="F23" s="314"/>
      <c r="G23" s="318">
        <f ca="1">DATA!$D$11/1000000</f>
        <v>0.46886352103500006</v>
      </c>
      <c r="H23" s="318">
        <f>C23*DATA!$D$5/1000000</f>
        <v>3.3824701431661426</v>
      </c>
      <c r="I23" s="318">
        <f>(C23*DATA!$D$5*DATA!$D$7)/1000000</f>
        <v>7.6105578221238201E-2</v>
      </c>
      <c r="J23" s="316">
        <f t="shared" ca="1" si="1"/>
        <v>3.9274392424223805</v>
      </c>
      <c r="K23" s="314"/>
      <c r="L23" s="316">
        <f>((D23*DATA!$D$23)/1000000)+((E23*DATA!$D$24)/1000000)</f>
        <v>4.5074639999999997</v>
      </c>
      <c r="M23" s="316">
        <f t="shared" si="2"/>
        <v>4.5074639999999997</v>
      </c>
      <c r="N23" s="316">
        <f t="shared" ca="1" si="6"/>
        <v>0.58002475757761918</v>
      </c>
      <c r="O23" s="315">
        <f>1/(1+'[92]Asumsi I'!$C$3)^(KKF!A23)</f>
        <v>0.16312166184303503</v>
      </c>
      <c r="P23" s="316">
        <f t="shared" ca="1" si="7"/>
        <v>9.4614602366164771E-2</v>
      </c>
      <c r="Q23" s="316">
        <f t="shared" ca="1" si="9"/>
        <v>-12.694381380512363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3120</v>
      </c>
      <c r="D24" s="316">
        <f t="shared" si="5"/>
        <v>520</v>
      </c>
      <c r="E24" s="316">
        <f t="shared" si="0"/>
        <v>2600</v>
      </c>
      <c r="F24" s="314"/>
      <c r="G24" s="318">
        <f ca="1">DATA!$D$11/1000000</f>
        <v>0.46886352103500006</v>
      </c>
      <c r="H24" s="318">
        <f>C24*DATA!$D$5/1000000</f>
        <v>3.3824701431661426</v>
      </c>
      <c r="I24" s="318">
        <f>(C24*DATA!$D$5*DATA!$D$7)/1000000</f>
        <v>7.6105578221238201E-2</v>
      </c>
      <c r="J24" s="316">
        <f t="shared" ca="1" si="1"/>
        <v>3.9274392424223805</v>
      </c>
      <c r="K24" s="314"/>
      <c r="L24" s="316">
        <f>((D24*DATA!$D$23)/1000000)+((E24*DATA!$D$24)/1000000)</f>
        <v>4.5074639999999997</v>
      </c>
      <c r="M24" s="316">
        <f t="shared" si="2"/>
        <v>4.5074639999999997</v>
      </c>
      <c r="N24" s="316">
        <f t="shared" ca="1" si="6"/>
        <v>0.58002475757761918</v>
      </c>
      <c r="O24" s="315">
        <f>1/(1+'[92]Asumsi I'!$C$3)^(KKF!A24)</f>
        <v>0.14564434093128129</v>
      </c>
      <c r="P24" s="316">
        <f t="shared" ca="1" si="7"/>
        <v>8.4477323541218549E-2</v>
      </c>
      <c r="Q24" s="316">
        <f t="shared" ca="1" si="9"/>
        <v>-12.609904056971144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3120</v>
      </c>
      <c r="D25" s="316">
        <f t="shared" si="5"/>
        <v>520</v>
      </c>
      <c r="E25" s="316">
        <f t="shared" si="0"/>
        <v>2600</v>
      </c>
      <c r="F25" s="314"/>
      <c r="G25" s="318">
        <f ca="1">DATA!$D$11/1000000</f>
        <v>0.46886352103500006</v>
      </c>
      <c r="H25" s="318">
        <f>C25*DATA!$D$5/1000000</f>
        <v>3.3824701431661426</v>
      </c>
      <c r="I25" s="318">
        <f>(C25*DATA!$D$5*DATA!$D$7)/1000000</f>
        <v>7.6105578221238201E-2</v>
      </c>
      <c r="J25" s="316">
        <f t="shared" ca="1" si="1"/>
        <v>3.9274392424223805</v>
      </c>
      <c r="K25" s="314"/>
      <c r="L25" s="316">
        <f>((D25*DATA!$D$23)/1000000)+((E25*DATA!$D$24)/1000000)</f>
        <v>4.5074639999999997</v>
      </c>
      <c r="M25" s="316">
        <f t="shared" si="2"/>
        <v>4.5074639999999997</v>
      </c>
      <c r="N25" s="316">
        <f t="shared" ca="1" si="6"/>
        <v>0.58002475757761918</v>
      </c>
      <c r="O25" s="315">
        <f>1/(1+'[92]Asumsi I'!$C$3)^(KKF!A25)</f>
        <v>0.13003959011721541</v>
      </c>
      <c r="P25" s="316">
        <f t="shared" ca="1" si="7"/>
        <v>7.5426181733230832E-2</v>
      </c>
      <c r="Q25" s="316">
        <f t="shared" ca="1" si="9"/>
        <v>-12.534477875237913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3120</v>
      </c>
      <c r="D26" s="316">
        <f t="shared" si="5"/>
        <v>520</v>
      </c>
      <c r="E26" s="316">
        <f t="shared" si="0"/>
        <v>2600</v>
      </c>
      <c r="F26" s="314"/>
      <c r="G26" s="318">
        <f ca="1">DATA!$D$11/1000000</f>
        <v>0.46886352103500006</v>
      </c>
      <c r="H26" s="318">
        <f>C26*DATA!$D$5/1000000</f>
        <v>3.3824701431661426</v>
      </c>
      <c r="I26" s="318">
        <f>(C26*DATA!$D$5*DATA!$D$7)/1000000</f>
        <v>7.6105578221238201E-2</v>
      </c>
      <c r="J26" s="316">
        <f t="shared" ca="1" si="1"/>
        <v>3.9274392424223805</v>
      </c>
      <c r="K26" s="314"/>
      <c r="L26" s="316">
        <f>((D26*DATA!$D$23)/1000000)+((E26*DATA!$D$24)/1000000)</f>
        <v>4.5074639999999997</v>
      </c>
      <c r="M26" s="316">
        <f t="shared" si="2"/>
        <v>4.5074639999999997</v>
      </c>
      <c r="N26" s="316">
        <f t="shared" ca="1" si="6"/>
        <v>0.58002475757761918</v>
      </c>
      <c r="O26" s="315">
        <f>1/(1+'[92]Asumsi I'!$C$3)^(KKF!A26)</f>
        <v>0.1161067768903709</v>
      </c>
      <c r="P26" s="316">
        <f t="shared" ca="1" si="7"/>
        <v>6.7344805118956103E-2</v>
      </c>
      <c r="Q26" s="316">
        <f t="shared" ca="1" si="9"/>
        <v>-12.467133070118956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3120</v>
      </c>
      <c r="D27" s="316">
        <f t="shared" si="5"/>
        <v>520</v>
      </c>
      <c r="E27" s="316">
        <f t="shared" si="0"/>
        <v>2600</v>
      </c>
      <c r="F27" s="314"/>
      <c r="G27" s="318">
        <f ca="1">DATA!$D$11/1000000</f>
        <v>0.46886352103500006</v>
      </c>
      <c r="H27" s="318">
        <f>C27*DATA!$D$5/1000000</f>
        <v>3.3824701431661426</v>
      </c>
      <c r="I27" s="318">
        <f>(C27*DATA!$D$5*DATA!$D$7)/1000000</f>
        <v>7.6105578221238201E-2</v>
      </c>
      <c r="J27" s="316">
        <f t="shared" ca="1" si="1"/>
        <v>3.9274392424223805</v>
      </c>
      <c r="K27" s="314"/>
      <c r="L27" s="316">
        <f>((D27*DATA!$D$23)/1000000)+((E27*DATA!$D$24)/1000000)</f>
        <v>4.5074639999999997</v>
      </c>
      <c r="M27" s="316">
        <f t="shared" si="2"/>
        <v>4.5074639999999997</v>
      </c>
      <c r="N27" s="316">
        <f t="shared" ca="1" si="6"/>
        <v>0.58002475757761918</v>
      </c>
      <c r="O27" s="315">
        <f>1/(1+'[92]Asumsi I'!$C$3)^(KKF!A27)</f>
        <v>0.1036667650806883</v>
      </c>
      <c r="P27" s="316">
        <f t="shared" ca="1" si="7"/>
        <v>6.0129290284782227E-2</v>
      </c>
      <c r="Q27" s="316">
        <f t="shared" ca="1" si="9"/>
        <v>-12.407003779834174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3120</v>
      </c>
      <c r="D28" s="316">
        <f t="shared" si="5"/>
        <v>520</v>
      </c>
      <c r="E28" s="316">
        <f t="shared" si="0"/>
        <v>2600</v>
      </c>
      <c r="F28" s="314"/>
      <c r="G28" s="318">
        <f ca="1">DATA!$D$11/1000000</f>
        <v>0.46886352103500006</v>
      </c>
      <c r="H28" s="318">
        <f>C28*DATA!$D$5/1000000</f>
        <v>3.3824701431661426</v>
      </c>
      <c r="I28" s="318">
        <f>(C28*DATA!$D$5*DATA!$D$7)/1000000</f>
        <v>7.6105578221238201E-2</v>
      </c>
      <c r="J28" s="316">
        <f t="shared" ca="1" si="1"/>
        <v>3.9274392424223805</v>
      </c>
      <c r="K28" s="314"/>
      <c r="L28" s="316">
        <f>((D28*DATA!$D$23)/1000000)+((E28*DATA!$D$24)/1000000)</f>
        <v>4.5074639999999997</v>
      </c>
      <c r="M28" s="316">
        <f t="shared" si="2"/>
        <v>4.5074639999999997</v>
      </c>
      <c r="N28" s="316">
        <f t="shared" ca="1" si="6"/>
        <v>0.58002475757761918</v>
      </c>
      <c r="O28" s="315">
        <f>1/(1+'[92]Asumsi I'!$C$3)^(KKF!A28)</f>
        <v>9.2559611679185971E-2</v>
      </c>
      <c r="P28" s="316">
        <f t="shared" ca="1" si="7"/>
        <v>5.3686866325698412E-2</v>
      </c>
      <c r="Q28" s="316">
        <f t="shared" ca="1" si="9"/>
        <v>-12.353316913508475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3120</v>
      </c>
      <c r="D29" s="316">
        <f t="shared" si="5"/>
        <v>520</v>
      </c>
      <c r="E29" s="316">
        <f t="shared" si="0"/>
        <v>2600</v>
      </c>
      <c r="F29" s="314"/>
      <c r="G29" s="318">
        <f ca="1">DATA!$D$11/1000000</f>
        <v>0.46886352103500006</v>
      </c>
      <c r="H29" s="318">
        <f>C29*DATA!$D$5/1000000</f>
        <v>3.3824701431661426</v>
      </c>
      <c r="I29" s="318">
        <f>(C29*DATA!$D$5*DATA!$D$7)/1000000</f>
        <v>7.6105578221238201E-2</v>
      </c>
      <c r="J29" s="316">
        <f t="shared" ca="1" si="1"/>
        <v>3.9274392424223805</v>
      </c>
      <c r="K29" s="314"/>
      <c r="L29" s="316">
        <f>((D29*DATA!$D$23)/1000000)+((E29*DATA!$D$24)/1000000)</f>
        <v>4.5074639999999997</v>
      </c>
      <c r="M29" s="316">
        <f t="shared" si="2"/>
        <v>4.5074639999999997</v>
      </c>
      <c r="N29" s="316">
        <f t="shared" ca="1" si="6"/>
        <v>0.58002475757761918</v>
      </c>
      <c r="O29" s="315">
        <f>1/(1+'[92]Asumsi I'!$C$3)^(KKF!A29)</f>
        <v>8.2642510427844609E-2</v>
      </c>
      <c r="P29" s="316">
        <f t="shared" ca="1" si="7"/>
        <v>4.7934702076516435E-2</v>
      </c>
      <c r="Q29" s="316">
        <f t="shared" ca="1" si="9"/>
        <v>-12.30538221143196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3120</v>
      </c>
      <c r="D30" s="316">
        <f t="shared" si="5"/>
        <v>520</v>
      </c>
      <c r="E30" s="316">
        <f t="shared" si="0"/>
        <v>2600</v>
      </c>
      <c r="F30" s="314"/>
      <c r="G30" s="318">
        <f ca="1">DATA!$D$11/1000000</f>
        <v>0.46886352103500006</v>
      </c>
      <c r="H30" s="318">
        <f>C30*DATA!$D$5/1000000</f>
        <v>3.3824701431661426</v>
      </c>
      <c r="I30" s="318">
        <f>(C30*DATA!$D$5*DATA!$D$7)/1000000</f>
        <v>7.6105578221238201E-2</v>
      </c>
      <c r="J30" s="316">
        <f t="shared" ca="1" si="1"/>
        <v>3.9274392424223805</v>
      </c>
      <c r="K30" s="314"/>
      <c r="L30" s="316">
        <f>((D30*DATA!$D$23)/1000000)+((E30*DATA!$D$24)/1000000)</f>
        <v>4.5074639999999997</v>
      </c>
      <c r="M30" s="316">
        <f t="shared" si="2"/>
        <v>4.5074639999999997</v>
      </c>
      <c r="N30" s="316">
        <f t="shared" ca="1" si="6"/>
        <v>0.58002475757761918</v>
      </c>
      <c r="O30" s="315">
        <f>1/(1+'[92]Asumsi I'!$C$3)^(KKF!A30)</f>
        <v>7.3787955739146982E-2</v>
      </c>
      <c r="P30" s="316">
        <f t="shared" ca="1" si="7"/>
        <v>4.2798841139746822E-2</v>
      </c>
      <c r="Q30" s="316">
        <f t="shared" ca="1" si="9"/>
        <v>-12.262583370292212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3120</v>
      </c>
      <c r="D31" s="316">
        <f t="shared" si="5"/>
        <v>520</v>
      </c>
      <c r="E31" s="316">
        <f t="shared" si="0"/>
        <v>2600</v>
      </c>
      <c r="F31" s="314"/>
      <c r="G31" s="318">
        <f ca="1">DATA!$D$11/1000000</f>
        <v>0.46886352103500006</v>
      </c>
      <c r="H31" s="318">
        <f>C31*DATA!$D$5/1000000</f>
        <v>3.3824701431661426</v>
      </c>
      <c r="I31" s="318">
        <f>(C31*DATA!$D$5*DATA!$D$7)/1000000</f>
        <v>7.6105578221238201E-2</v>
      </c>
      <c r="J31" s="316">
        <f t="shared" ca="1" si="1"/>
        <v>3.9274392424223805</v>
      </c>
      <c r="K31" s="314"/>
      <c r="L31" s="316">
        <f>((D31*DATA!$D$23)/1000000)+((E31*DATA!$D$24)/1000000)</f>
        <v>4.5074639999999997</v>
      </c>
      <c r="M31" s="316">
        <f t="shared" si="2"/>
        <v>4.5074639999999997</v>
      </c>
      <c r="N31" s="316">
        <f t="shared" ca="1" si="6"/>
        <v>0.58002475757761918</v>
      </c>
      <c r="O31" s="315">
        <f>1/(1+'[92]Asumsi I'!$C$3)^(KKF!A31)</f>
        <v>6.5882103338524081E-2</v>
      </c>
      <c r="P31" s="316">
        <f t="shared" ca="1" si="7"/>
        <v>3.8213251017631088E-2</v>
      </c>
      <c r="Q31" s="316">
        <f ca="1">Q30+P31</f>
        <v>-12.224370119274582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3120</v>
      </c>
      <c r="D32" s="316">
        <f t="shared" si="5"/>
        <v>520</v>
      </c>
      <c r="E32" s="316">
        <f t="shared" si="0"/>
        <v>2600</v>
      </c>
      <c r="F32" s="314"/>
      <c r="G32" s="318">
        <f ca="1">DATA!$D$11/1000000</f>
        <v>0.46886352103500006</v>
      </c>
      <c r="H32" s="318">
        <f>C32*DATA!$D$5/1000000</f>
        <v>3.3824701431661426</v>
      </c>
      <c r="I32" s="318">
        <f>(C32*DATA!$D$5*DATA!$D$7)/1000000</f>
        <v>7.6105578221238201E-2</v>
      </c>
      <c r="J32" s="316">
        <f t="shared" ca="1" si="1"/>
        <v>3.9274392424223805</v>
      </c>
      <c r="K32" s="314"/>
      <c r="L32" s="316">
        <f>((D32*DATA!$D$23)/1000000)+((E32*DATA!$D$24)/1000000)</f>
        <v>4.5074639999999997</v>
      </c>
      <c r="M32" s="316">
        <f t="shared" si="2"/>
        <v>4.5074639999999997</v>
      </c>
      <c r="N32" s="316">
        <f t="shared" ca="1" si="6"/>
        <v>0.58002475757761918</v>
      </c>
      <c r="O32" s="315">
        <f>1/(1+'[92]Asumsi I'!$C$3)^(KKF!A32)</f>
        <v>5.8823306552253637E-2</v>
      </c>
      <c r="P32" s="316">
        <f t="shared" ca="1" si="7"/>
        <v>3.4118974122884893E-2</v>
      </c>
      <c r="Q32" s="316">
        <f ca="1">Q31+P32</f>
        <v>-12.190251145151697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1374</v>
      </c>
      <c r="G33" s="607"/>
      <c r="H33" s="607"/>
      <c r="I33" s="324"/>
      <c r="J33" s="325">
        <f ca="1">SUM(J7:J32)</f>
        <v>124.98016706783399</v>
      </c>
      <c r="K33" s="607" t="s">
        <v>1375</v>
      </c>
      <c r="L33" s="607"/>
      <c r="M33" s="325">
        <f>SUM(M7:M32)</f>
        <v>122.74131999999997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46.194900574892912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0.98208638122063907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-10.884152808171159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-1.0752615154943745E-2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93"/>
  <sheetViews>
    <sheetView showGridLines="0" tabSelected="1" zoomScale="70" zoomScaleNormal="70" zoomScaleSheetLayoutView="70" workbookViewId="0">
      <pane ySplit="13" topLeftCell="A71" activePane="bottomLeft" state="frozen"/>
      <selection activeCell="H1093" sqref="H1093"/>
      <selection pane="bottomLeft" activeCell="F64" sqref="F64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0" t="s">
        <v>1036</v>
      </c>
      <c r="P3" s="630"/>
      <c r="Q3" s="346"/>
      <c r="T3" s="344"/>
      <c r="U3" s="345" t="s">
        <v>1041</v>
      </c>
      <c r="V3" s="344"/>
    </row>
    <row r="4" spans="1:22" ht="15.75" customHeight="1">
      <c r="B4" s="631" t="s">
        <v>1023</v>
      </c>
      <c r="C4" s="631"/>
      <c r="D4" s="631"/>
      <c r="E4" s="631"/>
      <c r="F4" s="631"/>
      <c r="G4" s="631"/>
      <c r="H4" s="631"/>
      <c r="I4" s="631"/>
      <c r="J4" s="631"/>
      <c r="K4" s="631"/>
      <c r="O4" s="630"/>
      <c r="P4" s="63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4" t="str">
        <f>DATA!D14</f>
        <v>KOS LC SARDIMAN</v>
      </c>
      <c r="H6" s="614"/>
      <c r="I6" s="614"/>
      <c r="J6" s="614"/>
      <c r="K6" s="61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3" t="s">
        <v>0</v>
      </c>
      <c r="C11" s="635" t="s">
        <v>1</v>
      </c>
      <c r="D11" s="624" t="s">
        <v>42</v>
      </c>
      <c r="E11" s="624" t="s">
        <v>43</v>
      </c>
      <c r="F11" s="624" t="s">
        <v>2</v>
      </c>
      <c r="G11" s="638" t="s">
        <v>41</v>
      </c>
      <c r="H11" s="624" t="s">
        <v>3</v>
      </c>
      <c r="I11" s="624"/>
      <c r="J11" s="624"/>
      <c r="K11" s="62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4"/>
      <c r="C12" s="636"/>
      <c r="D12" s="628"/>
      <c r="E12" s="628"/>
      <c r="F12" s="628"/>
      <c r="G12" s="639"/>
      <c r="H12" s="626" t="s">
        <v>46</v>
      </c>
      <c r="I12" s="626" t="s">
        <v>5</v>
      </c>
      <c r="J12" s="628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4"/>
      <c r="C13" s="637"/>
      <c r="D13" s="628"/>
      <c r="E13" s="628"/>
      <c r="F13" s="628"/>
      <c r="G13" s="640"/>
      <c r="H13" s="627"/>
      <c r="I13" s="627"/>
      <c r="J13" s="628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3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0"/>
        <v>0</v>
      </c>
      <c r="I16" s="361">
        <f t="shared" ca="1" si="1"/>
        <v>10147800</v>
      </c>
      <c r="J16" s="361">
        <f t="shared" ca="1" si="2"/>
        <v>0</v>
      </c>
      <c r="K16" s="362">
        <f t="shared" ca="1" si="3"/>
        <v>10147800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s">
        <v>1628</v>
      </c>
      <c r="B17" s="371">
        <v>2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3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20" ca="1" si="4">IF(OR(D17="MDU",D17="MDU-KD"),(IF($O$3="RAB NON MDU","PLN KD",G17*F17)),0)</f>
        <v>0</v>
      </c>
      <c r="I17" s="361">
        <f t="shared" ref="I17:I20" ca="1" si="5">IF(D17="HDW",G17*F17,0)</f>
        <v>0</v>
      </c>
      <c r="J17" s="361">
        <f t="shared" ref="J17:J20" ca="1" si="6">IF(D17="JASA",G17*F17,0)</f>
        <v>30200.000000000004</v>
      </c>
      <c r="K17" s="362">
        <f t="shared" ref="K17:K20" ca="1" si="7">SUM(H17:J17)</f>
        <v>30200.000000000004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4"/>
        <v>0</v>
      </c>
      <c r="I18" s="361">
        <f t="shared" ca="1" si="5"/>
        <v>0</v>
      </c>
      <c r="J18" s="361">
        <f t="shared" ca="1" si="6"/>
        <v>0</v>
      </c>
      <c r="K18" s="362">
        <f t="shared" ca="1" si="7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1613</v>
      </c>
      <c r="C19" s="367" t="s">
        <v>1618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4"/>
        <v>0</v>
      </c>
      <c r="I20" s="361">
        <f t="shared" ca="1" si="5"/>
        <v>0</v>
      </c>
      <c r="J20" s="361">
        <f t="shared" ca="1" si="6"/>
        <v>0</v>
      </c>
      <c r="K20" s="362">
        <f t="shared" ca="1" si="7"/>
        <v>0</v>
      </c>
    </row>
    <row r="21" spans="1:22">
      <c r="B21" s="502" t="s">
        <v>1035</v>
      </c>
      <c r="C21" s="499" t="s">
        <v>1619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8" ca="1" si="8">IF(OR(D21="MDU",D21="MDU-KD"),(IF($O$3="RAB NON MDU","PLN KD",G21*F21)),0)</f>
        <v>0</v>
      </c>
      <c r="I21" s="361">
        <f t="shared" ref="I21:I38" ca="1" si="9">IF(D21="HDW",G21*F21,0)</f>
        <v>0</v>
      </c>
      <c r="J21" s="361">
        <f t="shared" ref="J21:J38" ca="1" si="10">IF(D21="JASA",G21*F21,0)</f>
        <v>0</v>
      </c>
      <c r="K21" s="362">
        <f t="shared" ref="K21:K38" ca="1" si="11">SUM(H21:J21)</f>
        <v>0</v>
      </c>
    </row>
    <row r="22" spans="1:22">
      <c r="B22" s="502">
        <v>1</v>
      </c>
      <c r="C22" s="499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1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4212</v>
      </c>
      <c r="J22" s="361">
        <f t="shared" ca="1" si="10"/>
        <v>0</v>
      </c>
      <c r="K22" s="362">
        <f t="shared" ca="1" si="11"/>
        <v>4212</v>
      </c>
    </row>
    <row r="23" spans="1:22">
      <c r="B23" s="502">
        <v>2</v>
      </c>
      <c r="C23" s="499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7">
        <f>F21*1</f>
        <v>1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23310</v>
      </c>
      <c r="J23" s="361">
        <f t="shared" ca="1" si="10"/>
        <v>0</v>
      </c>
      <c r="K23" s="362">
        <f t="shared" ca="1" si="11"/>
        <v>23310</v>
      </c>
    </row>
    <row r="24" spans="1:22">
      <c r="B24" s="502">
        <v>3</v>
      </c>
      <c r="C24" s="499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7">
        <f>F21*1</f>
        <v>1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2300</v>
      </c>
      <c r="J24" s="361">
        <f t="shared" ca="1" si="10"/>
        <v>0</v>
      </c>
      <c r="K24" s="362">
        <f t="shared" ca="1" si="11"/>
        <v>2300</v>
      </c>
    </row>
    <row r="25" spans="1:22">
      <c r="B25" s="502">
        <v>4</v>
      </c>
      <c r="C25" s="499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F21*1</f>
        <v>1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71000</v>
      </c>
      <c r="J25" s="361">
        <f t="shared" ca="1" si="10"/>
        <v>0</v>
      </c>
      <c r="K25" s="362">
        <f t="shared" ca="1" si="11"/>
        <v>71000</v>
      </c>
    </row>
    <row r="26" spans="1:22">
      <c r="B26" s="502">
        <v>5</v>
      </c>
      <c r="C26" s="499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f>F21*1</f>
        <v>1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29400</v>
      </c>
      <c r="K26" s="362">
        <f t="shared" ca="1" si="11"/>
        <v>29400</v>
      </c>
    </row>
    <row r="27" spans="1:22">
      <c r="B27" s="502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2" t="s">
        <v>1035</v>
      </c>
      <c r="C28" s="499" t="s">
        <v>1620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4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>
        <v>1</v>
      </c>
      <c r="C29" s="499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4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314000</v>
      </c>
      <c r="J29" s="361">
        <f t="shared" ca="1" si="10"/>
        <v>0</v>
      </c>
      <c r="K29" s="362">
        <f t="shared" ca="1" si="11"/>
        <v>314000</v>
      </c>
    </row>
    <row r="30" spans="1:22">
      <c r="B30" s="502">
        <v>2</v>
      </c>
      <c r="C30" s="499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F28*1</f>
        <v>4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16848</v>
      </c>
      <c r="J30" s="361">
        <f t="shared" ca="1" si="10"/>
        <v>0</v>
      </c>
      <c r="K30" s="362">
        <f t="shared" ca="1" si="11"/>
        <v>16848</v>
      </c>
    </row>
    <row r="31" spans="1:22">
      <c r="B31" s="502">
        <v>3</v>
      </c>
      <c r="C31" s="499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F28*1</f>
        <v>4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93240</v>
      </c>
      <c r="J31" s="361">
        <f t="shared" ca="1" si="10"/>
        <v>0</v>
      </c>
      <c r="K31" s="362">
        <f t="shared" ca="1" si="11"/>
        <v>93240</v>
      </c>
    </row>
    <row r="32" spans="1:22">
      <c r="B32" s="502">
        <v>4</v>
      </c>
      <c r="C32" s="499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F28*1</f>
        <v>4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9200</v>
      </c>
      <c r="J32" s="361">
        <f t="shared" ca="1" si="10"/>
        <v>0</v>
      </c>
      <c r="K32" s="362">
        <f t="shared" ca="1" si="11"/>
        <v>9200</v>
      </c>
    </row>
    <row r="33" spans="2:11">
      <c r="B33" s="502">
        <v>5</v>
      </c>
      <c r="C33" s="499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f>F28*1</f>
        <v>4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142800</v>
      </c>
      <c r="K33" s="362">
        <f t="shared" ca="1" si="11"/>
        <v>142800</v>
      </c>
    </row>
    <row r="34" spans="2:1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492"/>
      <c r="C35" s="503" t="s">
        <v>1621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" ca="1" si="12">IF(OR(D35="MDU",D35="MDU-KD"),(IF($O$3="RAB NON MDU","PLN KD",G35*F35)),0)</f>
        <v>0</v>
      </c>
      <c r="I35" s="361">
        <f t="shared" ref="I35" ca="1" si="13">IF(D35="HDW",G35*F35,0)</f>
        <v>0</v>
      </c>
      <c r="J35" s="361">
        <f t="shared" ref="J35" ca="1" si="14">IF(D35="JASA",G35*F35,0)</f>
        <v>0</v>
      </c>
      <c r="K35" s="362">
        <f t="shared" ref="K35" ca="1" si="15">SUM(H35:J35)</f>
        <v>0</v>
      </c>
    </row>
    <row r="36" spans="2:11">
      <c r="B36" s="492">
        <v>1</v>
      </c>
      <c r="C36" s="109" t="s">
        <v>1402</v>
      </c>
      <c r="D36" s="358" t="str">
        <f ca="1">IF(ISERROR(OFFSET('HARGA SATUAN'!$D$6,MATCH(RAB!C36,'HARGA SATUAN'!$C$7:$C$1492,0),0)),"",OFFSET('HARGA SATUAN'!$D$6,MATCH(RAB!C36,'HARGA SATUAN'!$C$7:$C$1492,0),0))</f>
        <v>MDU-KD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368">
        <v>100</v>
      </c>
      <c r="G36" s="360">
        <f ca="1">IF(ISERROR(OFFSET('HARGA SATUAN'!$I$6,MATCH(RAB!C36,'HARGA SATUAN'!$C$7:$C$1492,0),0)),0,OFFSET('HARGA SATUAN'!$I$6,MATCH(RAB!C36,'HARGA SATUAN'!$C$7:$C$1492,0),0))</f>
        <v>53300</v>
      </c>
      <c r="H36" s="361">
        <f t="shared" ca="1" si="8"/>
        <v>5330000</v>
      </c>
      <c r="I36" s="361">
        <f t="shared" ca="1" si="9"/>
        <v>0</v>
      </c>
      <c r="J36" s="361">
        <f t="shared" ca="1" si="10"/>
        <v>0</v>
      </c>
      <c r="K36" s="362">
        <f t="shared" ca="1" si="11"/>
        <v>5330000</v>
      </c>
    </row>
    <row r="37" spans="2:11">
      <c r="B37" s="492">
        <v>2</v>
      </c>
      <c r="C37" s="109" t="s">
        <v>346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Per 50 m</v>
      </c>
      <c r="F37" s="368">
        <f>F36/50</f>
        <v>2</v>
      </c>
      <c r="G37" s="360">
        <f ca="1">IF(ISERROR(OFFSET('HARGA SATUAN'!$I$6,MATCH(RAB!C37,'HARGA SATUAN'!$C$7:$C$1492,0),0)),0,OFFSET('HARGA SATUAN'!$I$6,MATCH(RAB!C37,'HARGA SATUAN'!$C$7:$C$1492,0),0))</f>
        <v>223500</v>
      </c>
      <c r="H37" s="361">
        <f t="shared" ca="1" si="8"/>
        <v>0</v>
      </c>
      <c r="I37" s="361">
        <f t="shared" ca="1" si="9"/>
        <v>0</v>
      </c>
      <c r="J37" s="361">
        <f t="shared" ca="1" si="10"/>
        <v>447000</v>
      </c>
      <c r="K37" s="362">
        <f t="shared" ca="1" si="11"/>
        <v>447000</v>
      </c>
    </row>
    <row r="38" spans="2:11">
      <c r="B38" s="492"/>
      <c r="C38" s="495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8"/>
        <v>0</v>
      </c>
      <c r="I38" s="361">
        <f t="shared" ca="1" si="9"/>
        <v>0</v>
      </c>
      <c r="J38" s="361">
        <f t="shared" ca="1" si="10"/>
        <v>0</v>
      </c>
      <c r="K38" s="362">
        <f t="shared" ca="1" si="11"/>
        <v>0</v>
      </c>
    </row>
    <row r="39" spans="2:11">
      <c r="B39" s="492"/>
      <c r="C39" s="503" t="s">
        <v>1625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61" ca="1" si="16">IF(OR(D39="MDU",D39="MDU-KD"),(IF($O$3="RAB NON MDU","PLN KD",G39*F39)),0)</f>
        <v>0</v>
      </c>
      <c r="I39" s="361">
        <f t="shared" ref="I39:I61" ca="1" si="17">IF(D39="HDW",G39*F39,0)</f>
        <v>0</v>
      </c>
      <c r="J39" s="361">
        <f t="shared" ref="J39:J61" ca="1" si="18">IF(D39="JASA",G39*F39,0)</f>
        <v>0</v>
      </c>
      <c r="K39" s="362">
        <f t="shared" ref="K39:K61" ca="1" si="19">SUM(H39:J39)</f>
        <v>0</v>
      </c>
    </row>
    <row r="40" spans="2:11">
      <c r="B40" s="504" t="s">
        <v>1035</v>
      </c>
      <c r="C40" s="505" t="s">
        <v>1622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7">
        <v>1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</row>
    <row r="41" spans="2:11">
      <c r="B41" s="504">
        <v>1</v>
      </c>
      <c r="C41" s="505" t="s">
        <v>28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7">
        <f>F40*1</f>
        <v>1</v>
      </c>
      <c r="G41" s="360">
        <f ca="1">IF(ISERROR(OFFSET('HARGA SATUAN'!$I$6,MATCH(RAB!C41,'HARGA SATUAN'!$C$7:$C$1492,0),0)),0,OFFSET('HARGA SATUAN'!$I$6,MATCH(RAB!C41,'HARGA SATUAN'!$C$7:$C$1492,0),0))</f>
        <v>26500</v>
      </c>
      <c r="H41" s="361">
        <f t="shared" ca="1" si="16"/>
        <v>0</v>
      </c>
      <c r="I41" s="361">
        <f t="shared" ca="1" si="17"/>
        <v>26500</v>
      </c>
      <c r="J41" s="361">
        <f t="shared" ca="1" si="18"/>
        <v>0</v>
      </c>
      <c r="K41" s="362">
        <f t="shared" ca="1" si="19"/>
        <v>26500</v>
      </c>
    </row>
    <row r="42" spans="2:11">
      <c r="B42" s="504">
        <v>2</v>
      </c>
      <c r="C42" s="505" t="s">
        <v>203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7">
        <f>F40*1</f>
        <v>1</v>
      </c>
      <c r="G42" s="360">
        <f ca="1">IF(ISERROR(OFFSET('HARGA SATUAN'!$I$6,MATCH(RAB!C42,'HARGA SATUAN'!$C$7:$C$1492,0),0)),0,OFFSET('HARGA SATUAN'!$I$6,MATCH(RAB!C42,'HARGA SATUAN'!$C$7:$C$1492,0),0))</f>
        <v>12500</v>
      </c>
      <c r="H42" s="361">
        <f t="shared" ca="1" si="16"/>
        <v>0</v>
      </c>
      <c r="I42" s="361">
        <f t="shared" ca="1" si="17"/>
        <v>12500</v>
      </c>
      <c r="J42" s="361">
        <f t="shared" ca="1" si="18"/>
        <v>0</v>
      </c>
      <c r="K42" s="362">
        <f t="shared" ca="1" si="19"/>
        <v>12500</v>
      </c>
    </row>
    <row r="43" spans="2:11">
      <c r="B43" s="504">
        <v>3</v>
      </c>
      <c r="C43" s="505" t="s">
        <v>206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497">
        <f>F40*12</f>
        <v>12</v>
      </c>
      <c r="G43" s="360">
        <f ca="1">IF(ISERROR(OFFSET('HARGA SATUAN'!$I$6,MATCH(RAB!C43,'HARGA SATUAN'!$C$7:$C$1492,0),0)),0,OFFSET('HARGA SATUAN'!$I$6,MATCH(RAB!C43,'HARGA SATUAN'!$C$7:$C$1492,0),0))</f>
        <v>39204</v>
      </c>
      <c r="H43" s="361">
        <f t="shared" ca="1" si="16"/>
        <v>0</v>
      </c>
      <c r="I43" s="361">
        <f t="shared" ca="1" si="17"/>
        <v>470448</v>
      </c>
      <c r="J43" s="361">
        <f t="shared" ca="1" si="18"/>
        <v>0</v>
      </c>
      <c r="K43" s="362">
        <f t="shared" ca="1" si="19"/>
        <v>470448</v>
      </c>
    </row>
    <row r="44" spans="2:11">
      <c r="B44" s="504">
        <v>4</v>
      </c>
      <c r="C44" s="505" t="s">
        <v>287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7">
        <f>F40*2</f>
        <v>2</v>
      </c>
      <c r="G44" s="360">
        <f ca="1">IF(ISERROR(OFFSET('HARGA SATUAN'!$I$6,MATCH(RAB!C44,'HARGA SATUAN'!$C$7:$C$1492,0),0)),0,OFFSET('HARGA SATUAN'!$I$6,MATCH(RAB!C44,'HARGA SATUAN'!$C$7:$C$1492,0),0))</f>
        <v>40000</v>
      </c>
      <c r="H44" s="361">
        <f t="shared" ca="1" si="16"/>
        <v>0</v>
      </c>
      <c r="I44" s="361">
        <f t="shared" ca="1" si="17"/>
        <v>80000</v>
      </c>
      <c r="J44" s="361">
        <f t="shared" ca="1" si="18"/>
        <v>0</v>
      </c>
      <c r="K44" s="362">
        <f t="shared" ca="1" si="19"/>
        <v>80000</v>
      </c>
    </row>
    <row r="45" spans="2:11">
      <c r="B45" s="504">
        <v>5</v>
      </c>
      <c r="C45" s="505" t="s">
        <v>26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7">
        <f>F40*1</f>
        <v>1</v>
      </c>
      <c r="G45" s="360">
        <f ca="1">IF(ISERROR(OFFSET('HARGA SATUAN'!$I$6,MATCH(RAB!C45,'HARGA SATUAN'!$C$7:$C$1492,0),0)),0,OFFSET('HARGA SATUAN'!$I$6,MATCH(RAB!C45,'HARGA SATUAN'!$C$7:$C$1492,0),0))</f>
        <v>2500</v>
      </c>
      <c r="H45" s="361">
        <f t="shared" ca="1" si="16"/>
        <v>0</v>
      </c>
      <c r="I45" s="361">
        <f t="shared" ca="1" si="17"/>
        <v>2500</v>
      </c>
      <c r="J45" s="361">
        <f t="shared" ca="1" si="18"/>
        <v>0</v>
      </c>
      <c r="K45" s="362">
        <f t="shared" ca="1" si="19"/>
        <v>2500</v>
      </c>
    </row>
    <row r="46" spans="2:11">
      <c r="B46" s="504">
        <v>6</v>
      </c>
      <c r="C46" s="505" t="s">
        <v>760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97">
        <f>F40*1</f>
        <v>1</v>
      </c>
      <c r="G46" s="360">
        <f ca="1">IF(ISERROR(OFFSET('HARGA SATUAN'!$I$6,MATCH(RAB!C46,'HARGA SATUAN'!$C$7:$C$1492,0),0)),0,OFFSET('HARGA SATUAN'!$I$6,MATCH(RAB!C46,'HARGA SATUAN'!$C$7:$C$1492,0),0))</f>
        <v>36600</v>
      </c>
      <c r="H46" s="361">
        <f t="shared" ca="1" si="16"/>
        <v>0</v>
      </c>
      <c r="I46" s="361">
        <f t="shared" ca="1" si="17"/>
        <v>0</v>
      </c>
      <c r="J46" s="361">
        <f t="shared" ca="1" si="18"/>
        <v>36600</v>
      </c>
      <c r="K46" s="362">
        <f t="shared" ca="1" si="19"/>
        <v>36600</v>
      </c>
    </row>
    <row r="47" spans="2:11">
      <c r="B47" s="492"/>
      <c r="C47" s="495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</row>
    <row r="48" spans="2:11">
      <c r="B48" s="504" t="s">
        <v>1035</v>
      </c>
      <c r="C48" s="505" t="s">
        <v>1623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497">
        <f>F40</f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</row>
    <row r="49" spans="2:11">
      <c r="B49" s="506">
        <v>1</v>
      </c>
      <c r="C49" s="507" t="s">
        <v>597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7">
        <f>F48*1</f>
        <v>1</v>
      </c>
      <c r="G49" s="360">
        <f ca="1">IF(ISERROR(OFFSET('HARGA SATUAN'!$I$6,MATCH(RAB!C49,'HARGA SATUAN'!$C$7:$C$1492,0),0)),0,OFFSET('HARGA SATUAN'!$I$6,MATCH(RAB!C49,'HARGA SATUAN'!$C$7:$C$1492,0),0))</f>
        <v>120900</v>
      </c>
      <c r="H49" s="361">
        <f t="shared" ca="1" si="16"/>
        <v>0</v>
      </c>
      <c r="I49" s="361">
        <f t="shared" ca="1" si="17"/>
        <v>120900</v>
      </c>
      <c r="J49" s="361">
        <f t="shared" ca="1" si="18"/>
        <v>0</v>
      </c>
      <c r="K49" s="362">
        <f t="shared" ca="1" si="19"/>
        <v>120900</v>
      </c>
    </row>
    <row r="50" spans="2:11">
      <c r="B50" s="498">
        <v>2</v>
      </c>
      <c r="C50" s="500" t="s">
        <v>261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97">
        <f>F48*1</f>
        <v>1</v>
      </c>
      <c r="G50" s="360">
        <f ca="1">IF(ISERROR(OFFSET('HARGA SATUAN'!$I$6,MATCH(RAB!C50,'HARGA SATUAN'!$C$7:$C$1492,0),0)),0,OFFSET('HARGA SATUAN'!$I$6,MATCH(RAB!C50,'HARGA SATUAN'!$C$7:$C$1492,0),0))</f>
        <v>135800</v>
      </c>
      <c r="H50" s="361">
        <f t="shared" ca="1" si="16"/>
        <v>0</v>
      </c>
      <c r="I50" s="361">
        <f t="shared" ca="1" si="17"/>
        <v>135800</v>
      </c>
      <c r="J50" s="361">
        <f t="shared" ca="1" si="18"/>
        <v>0</v>
      </c>
      <c r="K50" s="362">
        <f t="shared" ca="1" si="19"/>
        <v>135800</v>
      </c>
    </row>
    <row r="51" spans="2:11">
      <c r="B51" s="498">
        <v>3</v>
      </c>
      <c r="C51" s="501" t="s">
        <v>214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8">
        <f>F48*1</f>
        <v>1</v>
      </c>
      <c r="G51" s="360">
        <f ca="1">IF(ISERROR(OFFSET('HARGA SATUAN'!$I$6,MATCH(RAB!C51,'HARGA SATUAN'!$C$7:$C$1492,0),0)),0,OFFSET('HARGA SATUAN'!$I$6,MATCH(RAB!C51,'HARGA SATUAN'!$C$7:$C$1492,0),0))</f>
        <v>4500</v>
      </c>
      <c r="H51" s="361">
        <f t="shared" ca="1" si="16"/>
        <v>0</v>
      </c>
      <c r="I51" s="361">
        <f t="shared" ca="1" si="17"/>
        <v>4500</v>
      </c>
      <c r="J51" s="361">
        <f t="shared" ca="1" si="18"/>
        <v>0</v>
      </c>
      <c r="K51" s="362">
        <f t="shared" ca="1" si="19"/>
        <v>4500</v>
      </c>
    </row>
    <row r="52" spans="2:11">
      <c r="B52" s="504">
        <v>4</v>
      </c>
      <c r="C52" s="505" t="s">
        <v>768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497">
        <f>F48*1</f>
        <v>1</v>
      </c>
      <c r="G52" s="360">
        <f ca="1">IF(ISERROR(OFFSET('HARGA SATUAN'!$I$6,MATCH(RAB!C52,'HARGA SATUAN'!$C$7:$C$1492,0),0)),0,OFFSET('HARGA SATUAN'!$I$6,MATCH(RAB!C52,'HARGA SATUAN'!$C$7:$C$1492,0),0))</f>
        <v>55500</v>
      </c>
      <c r="H52" s="361">
        <f t="shared" ca="1" si="16"/>
        <v>0</v>
      </c>
      <c r="I52" s="361">
        <f t="shared" ca="1" si="17"/>
        <v>0</v>
      </c>
      <c r="J52" s="361">
        <f t="shared" ca="1" si="18"/>
        <v>55500</v>
      </c>
      <c r="K52" s="362">
        <f t="shared" ca="1" si="19"/>
        <v>55500</v>
      </c>
    </row>
    <row r="53" spans="2:11">
      <c r="B53" s="492"/>
      <c r="C53" s="495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6"/>
        <v>0</v>
      </c>
      <c r="I53" s="361">
        <f t="shared" ca="1" si="17"/>
        <v>0</v>
      </c>
      <c r="J53" s="361">
        <f t="shared" ca="1" si="18"/>
        <v>0</v>
      </c>
      <c r="K53" s="362">
        <f t="shared" ca="1" si="19"/>
        <v>0</v>
      </c>
    </row>
    <row r="54" spans="2:11">
      <c r="B54" s="504" t="s">
        <v>1035</v>
      </c>
      <c r="C54" s="505" t="s">
        <v>1624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97">
        <f>F40</f>
        <v>1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</row>
    <row r="55" spans="2:11">
      <c r="B55" s="504">
        <v>1</v>
      </c>
      <c r="C55" s="505" t="s">
        <v>30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7">
        <f>F54*1</f>
        <v>1</v>
      </c>
      <c r="G55" s="360">
        <f ca="1">IF(ISERROR(OFFSET('HARGA SATUAN'!$I$6,MATCH(RAB!C55,'HARGA SATUAN'!$C$7:$C$1492,0),0)),0,OFFSET('HARGA SATUAN'!$I$6,MATCH(RAB!C55,'HARGA SATUAN'!$C$7:$C$1492,0),0))</f>
        <v>47459</v>
      </c>
      <c r="H55" s="361">
        <f t="shared" ca="1" si="16"/>
        <v>0</v>
      </c>
      <c r="I55" s="361">
        <f t="shared" ca="1" si="17"/>
        <v>47459</v>
      </c>
      <c r="J55" s="361">
        <f t="shared" ca="1" si="18"/>
        <v>0</v>
      </c>
      <c r="K55" s="362">
        <f t="shared" ca="1" si="19"/>
        <v>47459</v>
      </c>
    </row>
    <row r="56" spans="2:11">
      <c r="B56" s="504">
        <v>2</v>
      </c>
      <c r="C56" s="505" t="s">
        <v>32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7">
        <f>F54*1</f>
        <v>1</v>
      </c>
      <c r="G56" s="360">
        <f ca="1">IF(ISERROR(OFFSET('HARGA SATUAN'!$I$6,MATCH(RAB!C56,'HARGA SATUAN'!$C$7:$C$1492,0),0)),0,OFFSET('HARGA SATUAN'!$I$6,MATCH(RAB!C56,'HARGA SATUAN'!$C$7:$C$1492,0),0))</f>
        <v>30000</v>
      </c>
      <c r="H56" s="361">
        <f t="shared" ca="1" si="16"/>
        <v>0</v>
      </c>
      <c r="I56" s="361">
        <f t="shared" ca="1" si="17"/>
        <v>30000</v>
      </c>
      <c r="J56" s="361">
        <f t="shared" ca="1" si="18"/>
        <v>0</v>
      </c>
      <c r="K56" s="362">
        <f t="shared" ca="1" si="19"/>
        <v>30000</v>
      </c>
    </row>
    <row r="57" spans="2:11">
      <c r="B57" s="504">
        <v>3</v>
      </c>
      <c r="C57" s="505" t="s">
        <v>33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F54*1</f>
        <v>1</v>
      </c>
      <c r="G57" s="360">
        <f ca="1">IF(ISERROR(OFFSET('HARGA SATUAN'!$I$6,MATCH(RAB!C57,'HARGA SATUAN'!$C$7:$C$1492,0),0)),0,OFFSET('HARGA SATUAN'!$I$6,MATCH(RAB!C57,'HARGA SATUAN'!$C$7:$C$1492,0),0))</f>
        <v>9500</v>
      </c>
      <c r="H57" s="361">
        <f t="shared" ca="1" si="16"/>
        <v>0</v>
      </c>
      <c r="I57" s="361">
        <f t="shared" ca="1" si="17"/>
        <v>9500</v>
      </c>
      <c r="J57" s="361">
        <f t="shared" ca="1" si="18"/>
        <v>0</v>
      </c>
      <c r="K57" s="362">
        <f t="shared" ca="1" si="19"/>
        <v>9500</v>
      </c>
    </row>
    <row r="58" spans="2:11">
      <c r="B58" s="504">
        <v>4</v>
      </c>
      <c r="C58" s="505" t="s">
        <v>738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97">
        <f>F54*1</f>
        <v>1</v>
      </c>
      <c r="G58" s="360">
        <f ca="1">IF(ISERROR(OFFSET('HARGA SATUAN'!$I$6,MATCH(RAB!C58,'HARGA SATUAN'!$C$7:$C$1492,0),0)),0,OFFSET('HARGA SATUAN'!$I$6,MATCH(RAB!C58,'HARGA SATUAN'!$C$7:$C$1492,0),0))</f>
        <v>21200</v>
      </c>
      <c r="H58" s="361">
        <f t="shared" ca="1" si="16"/>
        <v>0</v>
      </c>
      <c r="I58" s="361">
        <f t="shared" ca="1" si="17"/>
        <v>0</v>
      </c>
      <c r="J58" s="361">
        <f t="shared" ca="1" si="18"/>
        <v>21200</v>
      </c>
      <c r="K58" s="362">
        <f t="shared" ca="1" si="19"/>
        <v>21200</v>
      </c>
    </row>
    <row r="59" spans="2:11">
      <c r="B59" s="492"/>
      <c r="C59" s="495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6"/>
        <v>0</v>
      </c>
      <c r="I59" s="361">
        <f t="shared" ca="1" si="17"/>
        <v>0</v>
      </c>
      <c r="J59" s="361">
        <f t="shared" ca="1" si="18"/>
        <v>0</v>
      </c>
      <c r="K59" s="362">
        <f t="shared" ca="1" si="19"/>
        <v>0</v>
      </c>
    </row>
    <row r="60" spans="2:11">
      <c r="B60" s="366" t="s">
        <v>1614</v>
      </c>
      <c r="C60" s="367" t="s">
        <v>1617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6"/>
        <v>0</v>
      </c>
      <c r="I60" s="361">
        <f t="shared" ca="1" si="17"/>
        <v>0</v>
      </c>
      <c r="J60" s="361">
        <f t="shared" ca="1" si="18"/>
        <v>0</v>
      </c>
      <c r="K60" s="362">
        <f t="shared" ca="1" si="19"/>
        <v>0</v>
      </c>
    </row>
    <row r="61" spans="2:11">
      <c r="B61" s="492"/>
      <c r="C61" s="49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6"/>
        <v>0</v>
      </c>
      <c r="I61" s="361">
        <f t="shared" ca="1" si="17"/>
        <v>0</v>
      </c>
      <c r="J61" s="361">
        <f t="shared" ca="1" si="18"/>
        <v>0</v>
      </c>
      <c r="K61" s="362">
        <f t="shared" ca="1" si="19"/>
        <v>0</v>
      </c>
    </row>
    <row r="62" spans="2:11">
      <c r="B62" s="493" t="s">
        <v>1615</v>
      </c>
      <c r="C62" s="496" t="s">
        <v>1617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368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:H63" ca="1" si="20">IF(OR(D62="MDU",D62="MDU-KD"),(IF($O$3="RAB NON MDU","PLN KD",G62*F62)),0)</f>
        <v>0</v>
      </c>
      <c r="I62" s="361">
        <f t="shared" ref="I62:I63" ca="1" si="21">IF(D62="HDW",G62*F62,0)</f>
        <v>0</v>
      </c>
      <c r="J62" s="361">
        <f t="shared" ref="J62:J63" ca="1" si="22">IF(D62="JASA",G62*F62,0)</f>
        <v>0</v>
      </c>
      <c r="K62" s="362">
        <f t="shared" ref="K62:K63" ca="1" si="23">SUM(H62:J62)</f>
        <v>0</v>
      </c>
    </row>
    <row r="63" spans="2:11">
      <c r="B63" s="493" t="s">
        <v>1035</v>
      </c>
      <c r="C63" s="494" t="s">
        <v>1630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11">
        <v>5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20"/>
        <v>0</v>
      </c>
      <c r="I63" s="361">
        <f t="shared" ca="1" si="21"/>
        <v>0</v>
      </c>
      <c r="J63" s="361">
        <f t="shared" ca="1" si="22"/>
        <v>0</v>
      </c>
      <c r="K63" s="362">
        <f t="shared" ca="1" si="23"/>
        <v>0</v>
      </c>
    </row>
    <row r="64" spans="2:11">
      <c r="B64" s="510">
        <v>1</v>
      </c>
      <c r="C64" s="109" t="s">
        <v>482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11">
        <f>F63*1</f>
        <v>5</v>
      </c>
      <c r="G64" s="360">
        <f ca="1">IF(ISERROR(OFFSET('HARGA SATUAN'!$I$6,MATCH(RAB!C64,'HARGA SATUAN'!$C$7:$C$1492,0),0)),0,OFFSET('HARGA SATUAN'!$I$6,MATCH(RAB!C64,'HARGA SATUAN'!$C$7:$C$1492,0),0))</f>
        <v>327600</v>
      </c>
      <c r="H64" s="361">
        <f t="shared" ref="H64:H67" ca="1" si="24">IF(OR(D64="MDU",D64="MDU-KD"),(IF($O$3="RAB NON MDU","PLN KD",G64*F64)),0)</f>
        <v>1638000</v>
      </c>
      <c r="I64" s="361">
        <f t="shared" ref="I64:I67" ca="1" si="25">IF(D64="HDW",G64*F64,0)</f>
        <v>0</v>
      </c>
      <c r="J64" s="361">
        <f t="shared" ref="J64:J67" ca="1" si="26">IF(D64="JASA",G64*F64,0)</f>
        <v>0</v>
      </c>
      <c r="K64" s="362">
        <f t="shared" ref="K64:K67" ca="1" si="27">SUM(H64:J64)</f>
        <v>1638000</v>
      </c>
    </row>
    <row r="65" spans="2:13">
      <c r="B65" s="510">
        <v>2</v>
      </c>
      <c r="C65" s="513" t="s">
        <v>487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11">
        <f>F63*1</f>
        <v>5</v>
      </c>
      <c r="G65" s="360">
        <f ca="1">IF(ISERROR(OFFSET('HARGA SATUAN'!$I$6,MATCH(RAB!C65,'HARGA SATUAN'!$C$7:$C$1492,0),0)),0,OFFSET('HARGA SATUAN'!$I$6,MATCH(RAB!C65,'HARGA SATUAN'!$C$7:$C$1492,0),0))</f>
        <v>39000</v>
      </c>
      <c r="H65" s="361">
        <f t="shared" ca="1" si="24"/>
        <v>195000</v>
      </c>
      <c r="I65" s="361">
        <f t="shared" ca="1" si="25"/>
        <v>0</v>
      </c>
      <c r="J65" s="361">
        <f t="shared" ca="1" si="26"/>
        <v>0</v>
      </c>
      <c r="K65" s="362">
        <f t="shared" ca="1" si="27"/>
        <v>195000</v>
      </c>
    </row>
    <row r="66" spans="2:13">
      <c r="B66" s="510">
        <v>3</v>
      </c>
      <c r="C66" s="513" t="s">
        <v>73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511">
        <f>F63*35</f>
        <v>175</v>
      </c>
      <c r="G66" s="360">
        <f ca="1">IF(ISERROR(OFFSET('HARGA SATUAN'!$I$6,MATCH(RAB!C66,'HARGA SATUAN'!$C$7:$C$1492,0),0)),0,OFFSET('HARGA SATUAN'!$I$6,MATCH(RAB!C66,'HARGA SATUAN'!$C$7:$C$1492,0),0))</f>
        <v>4300</v>
      </c>
      <c r="H66" s="361">
        <f t="shared" ca="1" si="24"/>
        <v>752500</v>
      </c>
      <c r="I66" s="361">
        <f t="shared" ca="1" si="25"/>
        <v>0</v>
      </c>
      <c r="J66" s="361">
        <f t="shared" ca="1" si="26"/>
        <v>0</v>
      </c>
      <c r="K66" s="362">
        <f t="shared" ca="1" si="27"/>
        <v>752500</v>
      </c>
    </row>
    <row r="67" spans="2:13">
      <c r="B67" s="510">
        <v>4</v>
      </c>
      <c r="C67" s="512" t="s">
        <v>798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11">
        <f>F63*1</f>
        <v>5</v>
      </c>
      <c r="G67" s="360">
        <f ca="1">IF(ISERROR(OFFSET('HARGA SATUAN'!$I$6,MATCH(RAB!C67,'HARGA SATUAN'!$C$7:$C$1492,0),0)),0,OFFSET('HARGA SATUAN'!$I$6,MATCH(RAB!C67,'HARGA SATUAN'!$C$7:$C$1492,0),0))</f>
        <v>54400</v>
      </c>
      <c r="H67" s="361">
        <f t="shared" ca="1" si="24"/>
        <v>0</v>
      </c>
      <c r="I67" s="361">
        <f t="shared" ca="1" si="25"/>
        <v>0</v>
      </c>
      <c r="J67" s="361">
        <f t="shared" ca="1" si="26"/>
        <v>272000</v>
      </c>
      <c r="K67" s="362">
        <f t="shared" ca="1" si="27"/>
        <v>272000</v>
      </c>
    </row>
    <row r="68" spans="2:13">
      <c r="B68" s="373">
        <v>5</v>
      </c>
      <c r="C68" s="509" t="s">
        <v>981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368">
        <v>1</v>
      </c>
      <c r="G68" s="360">
        <f ca="1">IF(ISERROR(OFFSET('HARGA SATUAN'!$I$6,MATCH(RAB!C68,'HARGA SATUAN'!$C$7:$C$1492,0),0)),0,OFFSET('HARGA SATUAN'!$I$6,MATCH(RAB!C68,'HARGA SATUAN'!$C$7:$C$1492,0),0))</f>
        <v>32640</v>
      </c>
      <c r="H68" s="361">
        <f t="shared" ref="H68:H70" ca="1" si="28">IF(OR(D68="MDU",D68="MDU-KD"),(IF($O$3="RAB NON MDU","PLN KD",G68*F68)),0)</f>
        <v>0</v>
      </c>
      <c r="I68" s="361">
        <f t="shared" ref="I68:I70" ca="1" si="29">IF(D68="HDW",G68*F68,0)</f>
        <v>0</v>
      </c>
      <c r="J68" s="361">
        <f t="shared" ref="J68:J70" ca="1" si="30">IF(D68="JASA",G68*F68,0)</f>
        <v>32640</v>
      </c>
      <c r="K68" s="362">
        <f t="shared" ref="K68:K70" ca="1" si="31">SUM(H68:J68)</f>
        <v>32640</v>
      </c>
    </row>
    <row r="69" spans="2:13">
      <c r="B69" s="373"/>
      <c r="C69" s="372"/>
      <c r="D69" s="358"/>
      <c r="E69" s="359"/>
      <c r="F69" s="368"/>
      <c r="G69" s="360"/>
      <c r="H69" s="361"/>
      <c r="I69" s="361"/>
      <c r="J69" s="361"/>
      <c r="K69" s="362"/>
    </row>
    <row r="70" spans="2:13">
      <c r="B70" s="366" t="s">
        <v>22</v>
      </c>
      <c r="C70" s="367" t="s">
        <v>1616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8"/>
        <v>0</v>
      </c>
      <c r="I70" s="361">
        <f t="shared" ca="1" si="29"/>
        <v>0</v>
      </c>
      <c r="J70" s="361">
        <f t="shared" ca="1" si="30"/>
        <v>0</v>
      </c>
      <c r="K70" s="362">
        <f t="shared" ca="1" si="31"/>
        <v>0</v>
      </c>
    </row>
    <row r="71" spans="2:13">
      <c r="B71" s="373"/>
      <c r="C71" s="372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368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2" ca="1" si="32">IF(OR(D71="MDU",D71="MDU-KD"),(IF($O$3="RAB NON MDU","PLN KD",G71*F71)),0)</f>
        <v>0</v>
      </c>
      <c r="I71" s="361">
        <f t="shared" ref="I71:I72" ca="1" si="33">IF(D71="HDW",G71*F71,0)</f>
        <v>0</v>
      </c>
      <c r="J71" s="361">
        <f t="shared" ref="J71:J72" ca="1" si="34">IF(D71="JASA",G71*F71,0)</f>
        <v>0</v>
      </c>
      <c r="K71" s="362">
        <f t="shared" ref="K71:K72" ca="1" si="35">SUM(H71:J71)</f>
        <v>0</v>
      </c>
    </row>
    <row r="72" spans="2:13">
      <c r="B72" s="374"/>
      <c r="C72" s="375" t="s">
        <v>475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368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32"/>
        <v>0</v>
      </c>
      <c r="I72" s="361">
        <f t="shared" ca="1" si="33"/>
        <v>0</v>
      </c>
      <c r="J72" s="361">
        <f t="shared" ca="1" si="34"/>
        <v>0</v>
      </c>
      <c r="K72" s="362">
        <f t="shared" ca="1" si="35"/>
        <v>0</v>
      </c>
    </row>
    <row r="73" spans="2:13">
      <c r="B73" s="377">
        <v>1</v>
      </c>
      <c r="C73" s="378" t="s">
        <v>1091</v>
      </c>
      <c r="D73" s="379" t="str">
        <f ca="1">IF(ISERROR(OFFSET('HARGA SATUAN'!$D$6,MATCH(RAB!C73,'HARGA SATUAN'!$C$7:$C$1492,0),0)),"",OFFSET('HARGA SATUAN'!$D$6,MATCH(RAB!C73,'HARGA SATUAN'!$C$7:$C$1492,0),0))</f>
        <v>JASA</v>
      </c>
      <c r="E73" s="380" t="str">
        <f ca="1">IF(ISERROR(OFFSET('HARGA SATUAN'!$E$6,MATCH(RAB!C73,'HARGA SATUAN'!$C$7:$C$1492,0),0)),"",OFFSET('HARGA SATUAN'!$E$6,MATCH(RAB!C73,'HARGA SATUAN'!$C$7:$C$1492,0),0))</f>
        <v>Lot</v>
      </c>
      <c r="F73" s="381">
        <v>1</v>
      </c>
      <c r="G73" s="382">
        <f ca="1">IF(ISERROR(OFFSET('HARGA SATUAN'!$I$6,MATCH(RAB!C73,'HARGA SATUAN'!$C$7:$C$1492,0),0)),0,OFFSET('HARGA SATUAN'!$I$6,MATCH(RAB!C73,'HARGA SATUAN'!$C$7:$C$1492,0),0))</f>
        <v>2.5000000000000001E-2</v>
      </c>
      <c r="H73" s="383"/>
      <c r="I73" s="383"/>
      <c r="J73" s="383">
        <f ca="1">SUM(K15:K19)*G73</f>
        <v>254450</v>
      </c>
      <c r="K73" s="384">
        <f ca="1">SUM(K14:K72)*2.5%</f>
        <v>515121.42500000005</v>
      </c>
    </row>
    <row r="74" spans="2:13">
      <c r="B74" s="385"/>
      <c r="C74" s="386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IF(ISERROR(OFFSET('HARGA SATUAN'!$E$6,MATCH(RAB!C74,'HARGA SATUAN'!$C$7:$C$1492,0),0)),"",OFFSET('HARGA SATUAN'!$E$6,MATCH(RAB!C74,'HARGA SATUAN'!$C$7:$C$1492,0),0))</f>
        <v/>
      </c>
      <c r="F74" s="376"/>
      <c r="G74" s="360" t="str">
        <f ca="1">IF(ISERROR(OFFSET('HARGA SATUAN'!$I$6,MATCH(RAB!C74,'HARGA SATUAN'!$C$7:$C$1492,0),0)),"",OFFSET('HARGA SATUAN'!$I$6,MATCH(RAB!C74,'HARGA SATUAN'!$C$7:$C$1492,0),0))</f>
        <v/>
      </c>
      <c r="H74" s="361">
        <f ca="1">IF(OR(D74="MDU",D74="MDU-KD"),IF(G74="PLN",0,G74*F74),0)</f>
        <v>0</v>
      </c>
      <c r="I74" s="361">
        <f ca="1">IF(D74="HDW",IF(G74="PLN",0,G74*F74),0)</f>
        <v>0</v>
      </c>
      <c r="J74" s="361">
        <f ca="1">IF(D74="JASA",IF(G74="PLN",0,G74*F74),0)</f>
        <v>0</v>
      </c>
      <c r="K74" s="362">
        <f ca="1">SUM(H74:J74)</f>
        <v>0</v>
      </c>
    </row>
    <row r="75" spans="2:13" ht="15.75" thickBot="1">
      <c r="B75" s="387"/>
      <c r="C75" s="388"/>
      <c r="D75" s="389"/>
      <c r="E75" s="390"/>
      <c r="F75" s="390"/>
      <c r="G75" s="390"/>
      <c r="H75" s="391"/>
      <c r="I75" s="391"/>
      <c r="J75" s="391"/>
      <c r="K75" s="392"/>
    </row>
    <row r="76" spans="2:13">
      <c r="B76" s="393"/>
      <c r="C76" s="632" t="s">
        <v>1008</v>
      </c>
      <c r="D76" s="632"/>
      <c r="E76" s="632"/>
      <c r="F76" s="632"/>
      <c r="G76" s="394" t="s">
        <v>9</v>
      </c>
      <c r="H76" s="395">
        <f ca="1">SUM(H14:H74)</f>
        <v>7915500</v>
      </c>
      <c r="I76" s="395">
        <f ca="1">SUM(I14:I74)</f>
        <v>11622017</v>
      </c>
      <c r="J76" s="395">
        <f ca="1">SUM(J14:J74)</f>
        <v>1321790</v>
      </c>
      <c r="K76" s="395">
        <f ca="1">SUM(K14:K74)</f>
        <v>21119978.425000001</v>
      </c>
    </row>
    <row r="77" spans="2:13">
      <c r="B77" s="396"/>
      <c r="C77" s="615" t="s">
        <v>1457</v>
      </c>
      <c r="D77" s="615"/>
      <c r="E77" s="615"/>
      <c r="F77" s="615"/>
      <c r="G77" s="397" t="s">
        <v>9</v>
      </c>
      <c r="H77" s="398">
        <f ca="1">H76*0.11</f>
        <v>870705</v>
      </c>
      <c r="I77" s="398">
        <f ca="1">I76*0.11</f>
        <v>1278421.8700000001</v>
      </c>
      <c r="J77" s="398">
        <f ca="1">J76*0.11</f>
        <v>145396.9</v>
      </c>
      <c r="K77" s="398">
        <f ca="1">K76*0.11</f>
        <v>2323197.6267500003</v>
      </c>
    </row>
    <row r="78" spans="2:13" ht="15.75" thickBot="1">
      <c r="B78" s="396"/>
      <c r="C78" s="613" t="s">
        <v>463</v>
      </c>
      <c r="D78" s="613"/>
      <c r="E78" s="613"/>
      <c r="F78" s="613"/>
      <c r="G78" s="399" t="s">
        <v>9</v>
      </c>
      <c r="H78" s="400">
        <f ca="1">SUM(H76:H77)</f>
        <v>8786205</v>
      </c>
      <c r="I78" s="400">
        <f ca="1">SUM(I76:I77)</f>
        <v>12900438.870000001</v>
      </c>
      <c r="J78" s="399">
        <f ca="1">SUM(J76:J77)</f>
        <v>1467186.9</v>
      </c>
      <c r="K78" s="399">
        <f ca="1">SUM(K76:K77)</f>
        <v>23443176.051750001</v>
      </c>
      <c r="M78" s="482"/>
    </row>
    <row r="79" spans="2:13">
      <c r="B79" s="616" t="str">
        <f ca="1">"Terbilang : "&amp;PROPER(IF(K78=0,"nol",IF(K78&lt;0,"minus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IF(--MID(TEXT(ABS(K78),"000000000000000"),1,3)=0,"",MID(TEXT(ABS(K78),"000000000000000"),1,1)&amp;" ratus "&amp;MID(TEXT(ABS(K78),"000000000000000"),2,1)&amp;" puluh "&amp;MID(TEXT(ABS(K78),"000000000000000"),3,1)&amp;" trilyun ")&amp; IF(--MID(TEXT(ABS(K78),"000000000000000"),4,3)=0,"",MID(TEXT(ABS(K78),"000000000000000"),4,1)&amp;" ratus "&amp;MID(TEXT(ABS(K78),"000000000000000"),5,1)&amp;" puluh "&amp;MID(TEXT(ABS(K78),"000000000000000"),6,1)&amp;" milyar ")&amp; IF(--MID(TEXT(ABS(K78),"000000000000000"),7,3)=0,"",MID(TEXT(ABS(K78),"000000000000000"),7,1)&amp;" ratus "&amp;MID(TEXT(ABS(K78),"000000000000000"),8,1)&amp;" puluh "&amp;MID(TEXT(ABS(K78),"000000000000000"),9,1)&amp;" juta ")&amp; IF(--MID(TEXT(ABS(K78),"000000000000000"),10,3)=0,"",IF(--MID(TEXT(ABS(K78),"000000000000000"),10,3)=1,"*",MID(TEXT(ABS(K78),"000000000000000"),10,1)&amp;" ratus "&amp;MID(TEXT(ABS(K78),"000000000000000"),11,1)&amp;" puluh ")&amp;MID(TEXT(ABS(K78),"000000000000000"),12,1)&amp;" ribu ")&amp; IF(--MID(TEXT(ABS(K78),"000000000000000"),13,3)=0,"",MID(TEXT(ABS(K78),"000000000000000"),13,1)&amp;" ratus "&amp;MID(TEXT(ABS(K78),"000000000000000"),14,1)&amp;" puluh "&amp;MID(TEXT(ABS(K78),"000000000000000"),15,1)),1,"satu"),2,"dua"),3,"tiga"),4,"empat"),5,"lima"),6,"enam"),7,"tujuh"),8,"delapan"),9,"sembilan"),"0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Tiga Juta Empat Ratus Empat Puluh Tiga Ribu Seratus Tujuh Puluh Enam Rupiah</v>
      </c>
      <c r="C79" s="617"/>
      <c r="D79" s="617"/>
      <c r="E79" s="617"/>
      <c r="F79" s="617"/>
      <c r="G79" s="617"/>
      <c r="H79" s="617"/>
      <c r="I79" s="617"/>
      <c r="J79" s="617"/>
      <c r="K79" s="618"/>
    </row>
    <row r="80" spans="2:13">
      <c r="B80" s="619"/>
      <c r="C80" s="620"/>
      <c r="D80" s="620"/>
      <c r="E80" s="620"/>
      <c r="F80" s="620"/>
      <c r="G80" s="620"/>
      <c r="H80" s="620"/>
      <c r="I80" s="620"/>
      <c r="J80" s="620"/>
      <c r="K80" s="621"/>
    </row>
    <row r="81" spans="2:11" ht="15.75" thickBot="1">
      <c r="B81" s="401" t="str">
        <f>"Harga yang dipakai adalah "&amp;'HARGA SATUAN'!I5&amp;""</f>
        <v>Harga yang dipakai adalah RAB HSS 2023</v>
      </c>
      <c r="C81" s="402"/>
      <c r="D81" s="403"/>
      <c r="E81" s="403"/>
      <c r="F81" s="403"/>
      <c r="G81" s="404"/>
      <c r="H81" s="404"/>
      <c r="I81" s="404"/>
      <c r="J81" s="404"/>
      <c r="K81" s="405"/>
    </row>
    <row r="82" spans="2:11">
      <c r="C82" s="406"/>
      <c r="E82" s="408"/>
      <c r="F82" s="408"/>
      <c r="G82" s="408"/>
    </row>
    <row r="83" spans="2:11">
      <c r="C83" s="337"/>
      <c r="E83" s="408"/>
      <c r="F83" s="408"/>
      <c r="G83" s="408"/>
      <c r="H83" s="622"/>
      <c r="I83" s="622"/>
      <c r="J83" s="623"/>
      <c r="K83" s="623"/>
    </row>
    <row r="84" spans="2:11">
      <c r="C84" s="337"/>
      <c r="E84" s="408"/>
      <c r="F84" s="408"/>
      <c r="G84" s="408"/>
      <c r="H84" s="409"/>
      <c r="I84" s="612" t="s">
        <v>1610</v>
      </c>
      <c r="J84" s="612"/>
      <c r="K84" s="612"/>
    </row>
    <row r="85" spans="2:11">
      <c r="C85" s="337"/>
      <c r="E85" s="408"/>
      <c r="F85" s="408"/>
      <c r="G85" s="408"/>
      <c r="H85" s="409"/>
      <c r="I85" s="612" t="s">
        <v>1546</v>
      </c>
      <c r="J85" s="612"/>
      <c r="K85" s="612"/>
    </row>
    <row r="86" spans="2:11">
      <c r="C86" s="337"/>
      <c r="E86" s="408"/>
      <c r="F86" s="408"/>
      <c r="G86" s="408"/>
      <c r="H86" s="410"/>
      <c r="I86" s="411"/>
      <c r="J86" s="411"/>
      <c r="K86" s="411"/>
    </row>
    <row r="87" spans="2:11">
      <c r="C87" s="337"/>
      <c r="E87" s="408"/>
      <c r="F87" s="408"/>
      <c r="G87" s="408"/>
      <c r="H87" s="410"/>
      <c r="I87" s="410"/>
      <c r="J87" s="410"/>
      <c r="K87" s="410"/>
    </row>
    <row r="88" spans="2:11">
      <c r="C88" s="337"/>
      <c r="E88" s="408"/>
      <c r="F88" s="408"/>
      <c r="G88" s="408"/>
      <c r="H88" s="410"/>
      <c r="I88" s="410"/>
      <c r="J88" s="410"/>
      <c r="K88" s="410"/>
    </row>
    <row r="89" spans="2:11">
      <c r="C89" s="337"/>
      <c r="E89" s="408"/>
      <c r="F89" s="408"/>
      <c r="G89" s="408"/>
      <c r="H89" s="410"/>
      <c r="I89" s="410"/>
      <c r="J89" s="410"/>
      <c r="K89" s="410"/>
    </row>
    <row r="90" spans="2:11">
      <c r="C90" s="337"/>
      <c r="E90" s="408"/>
      <c r="F90" s="408"/>
      <c r="G90" s="408"/>
      <c r="H90" s="412"/>
      <c r="I90" s="612" t="s">
        <v>1547</v>
      </c>
      <c r="J90" s="612"/>
      <c r="K90" s="612"/>
    </row>
    <row r="91" spans="2:11">
      <c r="C91" s="406"/>
      <c r="E91" s="408"/>
      <c r="F91" s="408"/>
      <c r="G91" s="408"/>
      <c r="H91" s="410"/>
      <c r="I91" s="410"/>
      <c r="J91" s="410"/>
      <c r="K91" s="410"/>
    </row>
    <row r="92" spans="2:11">
      <c r="C92" s="406"/>
      <c r="E92" s="408"/>
      <c r="F92" s="408"/>
      <c r="G92" s="408"/>
      <c r="H92" s="410"/>
      <c r="I92" s="410"/>
      <c r="J92" s="410"/>
      <c r="K92" s="410"/>
    </row>
    <row r="93" spans="2:11">
      <c r="C93" s="406"/>
      <c r="E93" s="408"/>
      <c r="F93" s="408"/>
      <c r="G93" s="408"/>
      <c r="H93" s="410"/>
      <c r="I93" s="410"/>
      <c r="J93" s="410"/>
      <c r="K93" s="410"/>
    </row>
  </sheetData>
  <sheetProtection sort="0" autoFilter="0"/>
  <protectedRanges>
    <protectedRange sqref="B71 B63:B69" name="Range1_1"/>
    <protectedRange sqref="F59:F72 F14:F53" name="Range1_1_2_2"/>
    <protectedRange sqref="C71 C63:C66 C69" name="Range1_1_1"/>
    <protectedRange sqref="C67:C68" name="Range1_1_3_2"/>
    <protectedRange sqref="C37" name="Range1_1_3_4"/>
    <protectedRange sqref="C16" name="Range1_1_3_5"/>
    <protectedRange sqref="C17" name="Range1_1_3_6"/>
    <protectedRange sqref="C18" name="Range1_1_3"/>
    <protectedRange sqref="C36" name="Range1_1_3_1"/>
  </protectedRanges>
  <mergeCells count="22">
    <mergeCell ref="O3:P4"/>
    <mergeCell ref="B4:K4"/>
    <mergeCell ref="C76:F76"/>
    <mergeCell ref="B11:B13"/>
    <mergeCell ref="C11:C13"/>
    <mergeCell ref="D11:D13"/>
    <mergeCell ref="E11:E13"/>
    <mergeCell ref="F11:F13"/>
    <mergeCell ref="G11:G13"/>
    <mergeCell ref="I12:I13"/>
    <mergeCell ref="I85:K85"/>
    <mergeCell ref="I90:K90"/>
    <mergeCell ref="C78:F78"/>
    <mergeCell ref="G6:K6"/>
    <mergeCell ref="I84:K84"/>
    <mergeCell ref="C77:F77"/>
    <mergeCell ref="B79:K80"/>
    <mergeCell ref="H83:K83"/>
    <mergeCell ref="H11:K11"/>
    <mergeCell ref="H12:H13"/>
    <mergeCell ref="J12:J13"/>
    <mergeCell ref="K12:K13"/>
  </mergeCells>
  <phoneticPr fontId="139" type="noConversion"/>
  <conditionalFormatting sqref="C15:C19">
    <cfRule type="cellIs" dxfId="7" priority="13" operator="equal">
      <formula>0</formula>
    </cfRule>
  </conditionalFormatting>
  <conditionalFormatting sqref="C37">
    <cfRule type="cellIs" dxfId="6" priority="2" operator="equal">
      <formula>0</formula>
    </cfRule>
  </conditionalFormatting>
  <conditionalFormatting sqref="C60">
    <cfRule type="cellIs" dxfId="5" priority="101" operator="equal">
      <formula>0</formula>
    </cfRule>
  </conditionalFormatting>
  <conditionalFormatting sqref="C64">
    <cfRule type="cellIs" dxfId="4" priority="4" operator="equal">
      <formula>0</formula>
    </cfRule>
  </conditionalFormatting>
  <conditionalFormatting sqref="C70">
    <cfRule type="cellIs" dxfId="3" priority="99" operator="equal">
      <formula>0</formula>
    </cfRule>
  </conditionalFormatting>
  <conditionalFormatting sqref="E1:E3 G1:G13 E5:E13 H12:I12 O13 S14:V19 E14:K72 E73:G73 H73:K75 E74:H74 E75:F75">
    <cfRule type="cellIs" dxfId="2" priority="1056" stopIfTrue="1" operator="equal">
      <formula>0</formula>
    </cfRule>
  </conditionalFormatting>
  <conditionalFormatting sqref="G74:G65540 E79:E65540">
    <cfRule type="cellIs" dxfId="1" priority="190" stopIfTrue="1" operator="equal">
      <formula>0</formula>
    </cfRule>
  </conditionalFormatting>
  <conditionalFormatting sqref="C3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1:F33 F40:F46 F48:F50 F52 F54:F58 H14:K75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0" zoomScale="85" zoomScaleNormal="115" zoomScaleSheetLayoutView="85" workbookViewId="0">
      <selection activeCell="U27" sqref="U2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5" t="s">
        <v>1439</v>
      </c>
      <c r="X2" s="696"/>
      <c r="Y2" s="696"/>
      <c r="Z2" s="696"/>
      <c r="AA2" s="696"/>
      <c r="AB2" s="696"/>
      <c r="AC2" s="696"/>
      <c r="AD2" s="697"/>
    </row>
    <row r="3" spans="3:30">
      <c r="C3" s="238"/>
      <c r="W3" s="698"/>
      <c r="X3" s="699"/>
      <c r="Y3" s="699"/>
      <c r="Z3" s="699"/>
      <c r="AA3" s="699"/>
      <c r="AB3" s="699"/>
      <c r="AC3" s="699"/>
      <c r="AD3" s="70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238"/>
      <c r="W6" s="24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238"/>
      <c r="E7" s="488" t="str">
        <f>PETA!$C$6</f>
        <v>KOORDINAT : -6.895926, 110.617159</v>
      </c>
      <c r="W7" s="24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238"/>
      <c r="W8" s="24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238"/>
      <c r="W9" s="24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238"/>
      <c r="W10" s="24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238"/>
      <c r="W11" s="24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238"/>
      <c r="W12" s="24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238"/>
      <c r="W13" s="24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238"/>
      <c r="W14" s="24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238"/>
      <c r="W15" s="24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238"/>
      <c r="W16" s="241">
        <v>11</v>
      </c>
      <c r="X16" s="644" t="s">
        <v>1455</v>
      </c>
      <c r="Y16" s="644"/>
      <c r="Z16" s="644"/>
      <c r="AA16" s="644"/>
      <c r="AB16" s="644"/>
      <c r="AC16" s="644"/>
      <c r="AD16" s="645"/>
    </row>
    <row r="17" spans="3:30">
      <c r="C17" s="238"/>
      <c r="S17" s="242"/>
      <c r="W17" s="24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243"/>
      <c r="D18" s="244"/>
      <c r="E18" s="244"/>
      <c r="W18" s="24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238"/>
      <c r="W19" s="245"/>
      <c r="X19" s="693"/>
      <c r="Y19" s="693"/>
      <c r="Z19" s="693"/>
      <c r="AA19" s="693"/>
      <c r="AB19" s="693"/>
      <c r="AC19" s="693"/>
      <c r="AD19" s="694"/>
    </row>
    <row r="20" spans="3:30">
      <c r="C20" s="238"/>
      <c r="W20" s="680" t="s">
        <v>992</v>
      </c>
      <c r="X20" s="681"/>
      <c r="Y20" s="681"/>
      <c r="Z20" s="681"/>
      <c r="AA20" s="681"/>
      <c r="AB20" s="681"/>
      <c r="AC20" s="681"/>
      <c r="AD20" s="682"/>
    </row>
    <row r="21" spans="3:30">
      <c r="C21" s="238"/>
      <c r="W21" s="683" t="s">
        <v>985</v>
      </c>
      <c r="X21" s="684"/>
      <c r="Y21" s="684"/>
      <c r="Z21" s="685"/>
      <c r="AA21" s="686" t="s">
        <v>986</v>
      </c>
      <c r="AB21" s="687"/>
      <c r="AC21" s="687"/>
      <c r="AD21" s="688"/>
    </row>
    <row r="22" spans="3:30">
      <c r="C22" s="238"/>
      <c r="W22" s="689"/>
      <c r="X22" s="690"/>
      <c r="Y22" s="490"/>
      <c r="Z22" s="491"/>
      <c r="AA22" s="691"/>
      <c r="AB22" s="692"/>
      <c r="AC22" s="248"/>
      <c r="AD22" s="249"/>
    </row>
    <row r="23" spans="3:30">
      <c r="C23" s="238"/>
      <c r="W23" s="689"/>
      <c r="X23" s="690"/>
      <c r="Y23" s="490"/>
      <c r="Z23" s="491"/>
      <c r="AA23" s="678"/>
      <c r="AB23" s="679"/>
      <c r="AC23" s="248"/>
      <c r="AD23" s="249"/>
    </row>
    <row r="24" spans="3:30">
      <c r="C24" s="238"/>
      <c r="W24" s="673"/>
      <c r="X24" s="675"/>
      <c r="Y24" s="246"/>
      <c r="Z24" s="247"/>
      <c r="AA24" s="676"/>
      <c r="AB24" s="677"/>
      <c r="AC24" s="248"/>
      <c r="AD24" s="249"/>
    </row>
    <row r="25" spans="3:30">
      <c r="C25" s="238"/>
      <c r="W25" s="673"/>
      <c r="X25" s="675"/>
      <c r="Y25" s="246"/>
      <c r="Z25" s="247"/>
      <c r="AA25" s="678"/>
      <c r="AB25" s="679"/>
      <c r="AC25" s="248"/>
      <c r="AD25" s="249"/>
    </row>
    <row r="26" spans="3:30">
      <c r="C26" s="238"/>
      <c r="W26" s="478"/>
      <c r="X26" s="479"/>
      <c r="Y26" s="246"/>
      <c r="Z26" s="247"/>
      <c r="AA26" s="678"/>
      <c r="AB26" s="679"/>
      <c r="AC26" s="248"/>
      <c r="AD26" s="249"/>
    </row>
    <row r="27" spans="3:30">
      <c r="C27" s="238"/>
      <c r="W27" s="478"/>
      <c r="X27" s="479"/>
      <c r="Y27" s="246"/>
      <c r="Z27" s="247"/>
      <c r="AA27" s="672"/>
      <c r="AB27" s="667"/>
      <c r="AC27" s="248"/>
      <c r="AD27" s="249"/>
    </row>
    <row r="28" spans="3:30">
      <c r="C28" s="238"/>
      <c r="W28" s="478"/>
      <c r="X28" s="479"/>
      <c r="Y28" s="246"/>
      <c r="Z28" s="247"/>
      <c r="AA28" s="672"/>
      <c r="AB28" s="667"/>
      <c r="AC28" s="248"/>
      <c r="AD28" s="249"/>
    </row>
    <row r="29" spans="3:30">
      <c r="C29" s="238"/>
      <c r="W29" s="478"/>
      <c r="X29" s="479"/>
      <c r="Y29" s="246"/>
      <c r="Z29" s="247"/>
      <c r="AA29" s="672"/>
      <c r="AB29" s="667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2"/>
      <c r="AB30" s="667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2"/>
      <c r="AB31" s="667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2"/>
      <c r="AB32" s="667"/>
      <c r="AC32" s="248"/>
      <c r="AD32" s="249"/>
    </row>
    <row r="33" spans="3:30">
      <c r="C33" s="238"/>
      <c r="W33" s="478"/>
      <c r="X33" s="479"/>
      <c r="Y33" s="246"/>
      <c r="Z33" s="247"/>
      <c r="AA33" s="672"/>
      <c r="AB33" s="667"/>
      <c r="AC33" s="248"/>
      <c r="AD33" s="249"/>
    </row>
    <row r="34" spans="3:30">
      <c r="C34" s="238"/>
      <c r="W34" s="478"/>
      <c r="X34" s="479"/>
      <c r="Y34" s="246"/>
      <c r="Z34" s="247"/>
      <c r="AA34" s="672"/>
      <c r="AB34" s="667"/>
      <c r="AC34" s="248"/>
      <c r="AD34" s="249"/>
    </row>
    <row r="35" spans="3:30">
      <c r="C35" s="238"/>
      <c r="W35" s="673"/>
      <c r="X35" s="674"/>
      <c r="Y35" s="246"/>
      <c r="Z35" s="247"/>
      <c r="AA35" s="672"/>
      <c r="AB35" s="667"/>
      <c r="AC35" s="248"/>
      <c r="AD35" s="249"/>
    </row>
    <row r="36" spans="3:30">
      <c r="C36" s="238"/>
      <c r="W36" s="664"/>
      <c r="X36" s="665"/>
      <c r="Y36" s="246"/>
      <c r="Z36" s="251"/>
      <c r="AA36" s="666"/>
      <c r="AB36" s="667"/>
      <c r="AC36" s="248"/>
      <c r="AD36" s="249"/>
    </row>
    <row r="37" spans="3:30" ht="12.75" customHeight="1">
      <c r="C37" s="238"/>
      <c r="W37" s="668"/>
      <c r="X37" s="669"/>
      <c r="Y37" s="246"/>
      <c r="Z37" s="251"/>
      <c r="AA37" s="670"/>
      <c r="AB37" s="671"/>
      <c r="AC37" s="252"/>
      <c r="AD37" s="253"/>
    </row>
    <row r="38" spans="3:30" ht="12.75" customHeight="1">
      <c r="C38" s="238"/>
      <c r="W38" s="668"/>
      <c r="X38" s="66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8"/>
      <c r="X39" s="669"/>
      <c r="Y39" s="254"/>
      <c r="Z39" s="257"/>
      <c r="AA39" s="660"/>
      <c r="AB39" s="661"/>
      <c r="AC39" s="252"/>
      <c r="AD39" s="253"/>
    </row>
    <row r="40" spans="3:30" ht="12" customHeight="1">
      <c r="C40" s="238"/>
      <c r="W40" s="656"/>
      <c r="X40" s="65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8"/>
      <c r="X41" s="659"/>
      <c r="Y41" s="260"/>
      <c r="Z41" s="261"/>
      <c r="AA41" s="660"/>
      <c r="AB41" s="661"/>
      <c r="AC41" s="252"/>
      <c r="AD41" s="253"/>
    </row>
    <row r="42" spans="3:30" ht="12" customHeight="1">
      <c r="C42" s="238"/>
      <c r="W42" s="662" t="s">
        <v>1456</v>
      </c>
      <c r="X42" s="663"/>
      <c r="Y42" s="663"/>
      <c r="Z42" s="66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1" t="s">
        <v>11</v>
      </c>
      <c r="X44" s="642"/>
      <c r="Y44" s="644"/>
      <c r="Z44" s="644"/>
      <c r="AA44" s="644"/>
      <c r="AB44" s="644"/>
      <c r="AC44" s="644"/>
      <c r="AD44" s="64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1" t="s">
        <v>984</v>
      </c>
      <c r="X45" s="642"/>
      <c r="Y45" s="644">
        <v>1</v>
      </c>
      <c r="Z45" s="644"/>
      <c r="AA45" s="644"/>
      <c r="AB45" s="644" t="s">
        <v>12</v>
      </c>
      <c r="AC45" s="64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1" t="s">
        <v>15</v>
      </c>
      <c r="X46" s="642"/>
      <c r="Y46" s="655"/>
      <c r="Z46" s="655"/>
      <c r="AA46" s="655"/>
      <c r="AB46" s="644" t="s">
        <v>16</v>
      </c>
      <c r="AC46" s="64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9" t="s">
        <v>17</v>
      </c>
      <c r="X47" s="649"/>
      <c r="Y47" s="649"/>
      <c r="Z47" s="649"/>
      <c r="AA47" s="649"/>
      <c r="AB47" s="649"/>
      <c r="AC47" s="649"/>
      <c r="AD47" s="65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1" t="str">
        <f>RAB!G6</f>
        <v>KOS LC SARDIMAN</v>
      </c>
      <c r="X48" s="651"/>
      <c r="Y48" s="651"/>
      <c r="Z48" s="651"/>
      <c r="AA48" s="651"/>
      <c r="AB48" s="651"/>
      <c r="AC48" s="651"/>
      <c r="AD48" s="65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1"/>
      <c r="X49" s="651"/>
      <c r="Y49" s="651"/>
      <c r="Z49" s="651"/>
      <c r="AA49" s="651"/>
      <c r="AB49" s="651"/>
      <c r="AC49" s="651"/>
      <c r="AD49" s="65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1"/>
      <c r="X50" s="651"/>
      <c r="Y50" s="651"/>
      <c r="Z50" s="651"/>
      <c r="AA50" s="651"/>
      <c r="AB50" s="651"/>
      <c r="AC50" s="651"/>
      <c r="AD50" s="65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3"/>
      <c r="X51" s="653"/>
      <c r="Y51" s="653"/>
      <c r="Z51" s="653"/>
      <c r="AA51" s="653"/>
      <c r="AB51" s="653"/>
      <c r="AC51" s="653"/>
      <c r="AD51" s="65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1" t="s">
        <v>18</v>
      </c>
      <c r="X52" s="642"/>
      <c r="Y52" s="644" t="s">
        <v>1549</v>
      </c>
      <c r="Z52" s="644"/>
      <c r="AA52" s="644"/>
      <c r="AB52" s="644"/>
      <c r="AC52" s="644"/>
      <c r="AD52" s="64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1" t="s">
        <v>19</v>
      </c>
      <c r="X53" s="642"/>
      <c r="Y53" s="644" t="s">
        <v>1549</v>
      </c>
      <c r="Z53" s="644"/>
      <c r="AA53" s="644"/>
      <c r="AB53" s="644"/>
      <c r="AC53" s="644"/>
      <c r="AD53" s="64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1" t="s">
        <v>20</v>
      </c>
      <c r="X54" s="642"/>
      <c r="Y54" s="643" t="s">
        <v>1550</v>
      </c>
      <c r="Z54" s="643"/>
      <c r="AA54" s="643"/>
      <c r="AB54" s="644"/>
      <c r="AC54" s="644"/>
      <c r="AD54" s="64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6" t="s">
        <v>21</v>
      </c>
      <c r="X55" s="647"/>
      <c r="Y55" s="643" t="s">
        <v>1551</v>
      </c>
      <c r="Z55" s="643"/>
      <c r="AA55" s="643"/>
      <c r="AB55" s="643"/>
      <c r="AC55" s="643"/>
      <c r="AD55" s="64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R43" sqref="R4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1528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55" zoomScaleNormal="40" zoomScaleSheetLayoutView="55" workbookViewId="0">
      <selection activeCell="G29" sqref="G29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1527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0" t="s">
        <v>1631</v>
      </c>
      <c r="D6" s="711"/>
      <c r="E6" s="711"/>
      <c r="F6" s="711"/>
      <c r="G6" s="711"/>
      <c r="H6" s="711"/>
      <c r="I6" s="711"/>
      <c r="J6" s="711"/>
      <c r="K6" s="711"/>
      <c r="L6" s="711"/>
      <c r="M6" s="711"/>
      <c r="W6" s="182"/>
      <c r="Y6" s="426"/>
      <c r="Z6" s="426"/>
      <c r="AA6" s="426"/>
      <c r="AB6" s="427"/>
      <c r="AC6" s="427"/>
    </row>
    <row r="7" spans="1:29" ht="18" customHeight="1">
      <c r="A7" s="18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INTAN YULIYANI</cp:lastModifiedBy>
  <cp:lastPrinted>2023-05-10T03:04:01Z</cp:lastPrinted>
  <dcterms:created xsi:type="dcterms:W3CDTF">2011-02-06T11:57:38Z</dcterms:created>
  <dcterms:modified xsi:type="dcterms:W3CDTF">2024-02-22T07:29:33Z</dcterms:modified>
</cp:coreProperties>
</file>