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4\PP\PBPD\MOM\3. BP KURANG DR INVESTASI (PP LBH DR 5 TH)\KOS UCIT LUSIATI\"/>
    </mc:Choice>
  </mc:AlternateContent>
  <xr:revisionPtr revIDLastSave="0" documentId="13_ncr:1_{7655EF3E-7380-4690-ABD4-3813C4D8C077}" xr6:coauthVersionLast="47" xr6:coauthVersionMax="47" xr10:uidLastSave="{00000000-0000-0000-0000-000000000000}"/>
  <bookViews>
    <workbookView xWindow="-120" yWindow="-120" windowWidth="24240" windowHeight="13140" tabRatio="859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RAB!$A$1:$K$93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D20" i="59"/>
  <c r="F17" i="11"/>
  <c r="F67" i="11"/>
  <c r="F66" i="11"/>
  <c r="F65" i="11"/>
  <c r="F64" i="11"/>
  <c r="D64" i="11"/>
  <c r="D65" i="11"/>
  <c r="D66" i="11"/>
  <c r="D67" i="11"/>
  <c r="D68" i="11"/>
  <c r="D35" i="11"/>
  <c r="J35" i="11" s="1"/>
  <c r="E35" i="11"/>
  <c r="G35" i="11"/>
  <c r="H35" i="11" l="1"/>
  <c r="I35" i="11"/>
  <c r="K35" i="11" l="1"/>
  <c r="G17" i="11" l="1"/>
  <c r="G18" i="11"/>
  <c r="G19" i="11"/>
  <c r="G20" i="11"/>
  <c r="D17" i="11"/>
  <c r="E17" i="11"/>
  <c r="D18" i="11"/>
  <c r="I18" i="11" s="1"/>
  <c r="E18" i="11"/>
  <c r="J17" i="11" l="1"/>
  <c r="H18" i="11"/>
  <c r="I17" i="11"/>
  <c r="H17" i="11"/>
  <c r="J18" i="11"/>
  <c r="F54" i="11"/>
  <c r="F55" i="11" s="1"/>
  <c r="F48" i="11"/>
  <c r="F52" i="11" s="1"/>
  <c r="F46" i="11"/>
  <c r="F45" i="11"/>
  <c r="F44" i="11"/>
  <c r="F43" i="11"/>
  <c r="F42" i="11"/>
  <c r="F41" i="11"/>
  <c r="D39" i="11"/>
  <c r="H39" i="11" s="1"/>
  <c r="E39" i="11"/>
  <c r="G39" i="11"/>
  <c r="D40" i="11"/>
  <c r="J40" i="11" s="1"/>
  <c r="E40" i="11"/>
  <c r="G40" i="11"/>
  <c r="D41" i="11"/>
  <c r="H41" i="11" s="1"/>
  <c r="E41" i="11"/>
  <c r="G41" i="11"/>
  <c r="D42" i="11"/>
  <c r="J42" i="11" s="1"/>
  <c r="E42" i="11"/>
  <c r="G42" i="11"/>
  <c r="D43" i="11"/>
  <c r="J43" i="11" s="1"/>
  <c r="E43" i="11"/>
  <c r="G43" i="11"/>
  <c r="D44" i="11"/>
  <c r="J44" i="11" s="1"/>
  <c r="E44" i="11"/>
  <c r="G44" i="11"/>
  <c r="D45" i="11"/>
  <c r="J45" i="11" s="1"/>
  <c r="E45" i="11"/>
  <c r="G45" i="11"/>
  <c r="D46" i="11"/>
  <c r="H46" i="11" s="1"/>
  <c r="E46" i="11"/>
  <c r="G46" i="11"/>
  <c r="D47" i="11"/>
  <c r="J47" i="11" s="1"/>
  <c r="E47" i="11"/>
  <c r="G47" i="11"/>
  <c r="D48" i="11"/>
  <c r="J48" i="11" s="1"/>
  <c r="E48" i="11"/>
  <c r="G48" i="11"/>
  <c r="D49" i="11"/>
  <c r="H49" i="11" s="1"/>
  <c r="E49" i="11"/>
  <c r="G49" i="11"/>
  <c r="D50" i="11"/>
  <c r="J50" i="11" s="1"/>
  <c r="E50" i="11"/>
  <c r="G50" i="11"/>
  <c r="D51" i="11"/>
  <c r="J51" i="11" s="1"/>
  <c r="E51" i="11"/>
  <c r="G51" i="11"/>
  <c r="D52" i="11"/>
  <c r="E52" i="11"/>
  <c r="G52" i="11"/>
  <c r="D53" i="11"/>
  <c r="J53" i="11" s="1"/>
  <c r="E53" i="11"/>
  <c r="G53" i="11"/>
  <c r="D54" i="11"/>
  <c r="H54" i="11" s="1"/>
  <c r="E54" i="11"/>
  <c r="G54" i="11"/>
  <c r="D55" i="11"/>
  <c r="J55" i="11" s="1"/>
  <c r="E55" i="11"/>
  <c r="G55" i="11"/>
  <c r="D56" i="11"/>
  <c r="J56" i="11" s="1"/>
  <c r="E56" i="11"/>
  <c r="G56" i="11"/>
  <c r="D57" i="11"/>
  <c r="H57" i="11" s="1"/>
  <c r="E57" i="11"/>
  <c r="G57" i="11"/>
  <c r="D58" i="11"/>
  <c r="H58" i="11" s="1"/>
  <c r="E58" i="11"/>
  <c r="G58" i="11"/>
  <c r="D59" i="11"/>
  <c r="H59" i="11" s="1"/>
  <c r="E59" i="11"/>
  <c r="G59" i="11"/>
  <c r="D60" i="11"/>
  <c r="J60" i="11" s="1"/>
  <c r="E60" i="11"/>
  <c r="G60" i="11"/>
  <c r="D61" i="11"/>
  <c r="J61" i="11" s="1"/>
  <c r="E61" i="11"/>
  <c r="G61" i="11"/>
  <c r="C6" i="62"/>
  <c r="D15" i="11"/>
  <c r="J15" i="11" s="1"/>
  <c r="E15" i="11"/>
  <c r="G15" i="11"/>
  <c r="D16" i="11"/>
  <c r="J16" i="11" s="1"/>
  <c r="E16" i="11"/>
  <c r="G16" i="11"/>
  <c r="D19" i="11"/>
  <c r="E19" i="11"/>
  <c r="F37" i="11"/>
  <c r="F33" i="11"/>
  <c r="F32" i="11"/>
  <c r="F31" i="11"/>
  <c r="F30" i="11"/>
  <c r="F29" i="11"/>
  <c r="F26" i="11"/>
  <c r="F25" i="11"/>
  <c r="F24" i="11"/>
  <c r="F23" i="11"/>
  <c r="F22" i="11"/>
  <c r="D20" i="11"/>
  <c r="E20" i="11"/>
  <c r="D21" i="11"/>
  <c r="J21" i="11" s="1"/>
  <c r="E21" i="11"/>
  <c r="G21" i="11"/>
  <c r="D22" i="11"/>
  <c r="H22" i="11" s="1"/>
  <c r="E22" i="11"/>
  <c r="G22" i="11"/>
  <c r="D23" i="11"/>
  <c r="H23" i="11" s="1"/>
  <c r="E23" i="11"/>
  <c r="G23" i="11"/>
  <c r="D24" i="11"/>
  <c r="J24" i="11" s="1"/>
  <c r="E24" i="11"/>
  <c r="G24" i="11"/>
  <c r="D25" i="11"/>
  <c r="J25" i="11" s="1"/>
  <c r="E25" i="11"/>
  <c r="G25" i="11"/>
  <c r="D26" i="11"/>
  <c r="H26" i="11" s="1"/>
  <c r="E26" i="11"/>
  <c r="G26" i="11"/>
  <c r="D27" i="11"/>
  <c r="H27" i="11" s="1"/>
  <c r="E27" i="11"/>
  <c r="G27" i="11"/>
  <c r="D28" i="11"/>
  <c r="J28" i="11" s="1"/>
  <c r="E28" i="11"/>
  <c r="G28" i="11"/>
  <c r="D29" i="11"/>
  <c r="J29" i="11" s="1"/>
  <c r="E29" i="11"/>
  <c r="G29" i="11"/>
  <c r="D30" i="11"/>
  <c r="H30" i="11" s="1"/>
  <c r="E30" i="11"/>
  <c r="G30" i="11"/>
  <c r="D31" i="11"/>
  <c r="H31" i="11" s="1"/>
  <c r="E31" i="11"/>
  <c r="G31" i="11"/>
  <c r="D32" i="11"/>
  <c r="J32" i="11" s="1"/>
  <c r="E32" i="11"/>
  <c r="G32" i="11"/>
  <c r="D33" i="11"/>
  <c r="E33" i="11"/>
  <c r="G33" i="11"/>
  <c r="D34" i="11"/>
  <c r="H34" i="11" s="1"/>
  <c r="E34" i="11"/>
  <c r="G34" i="11"/>
  <c r="D36" i="11"/>
  <c r="J36" i="11" s="1"/>
  <c r="E36" i="11"/>
  <c r="G36" i="11"/>
  <c r="D37" i="11"/>
  <c r="I37" i="11" s="1"/>
  <c r="E37" i="11"/>
  <c r="G37" i="11"/>
  <c r="D38" i="11"/>
  <c r="J38" i="11" s="1"/>
  <c r="E38" i="11"/>
  <c r="G38" i="11"/>
  <c r="G62" i="11"/>
  <c r="G63" i="11"/>
  <c r="D62" i="11"/>
  <c r="I62" i="11" s="1"/>
  <c r="E62" i="11"/>
  <c r="K18" i="11" l="1"/>
  <c r="K17" i="11"/>
  <c r="J20" i="11"/>
  <c r="H20" i="11"/>
  <c r="I20" i="11"/>
  <c r="H19" i="11"/>
  <c r="I19" i="11"/>
  <c r="J19" i="11"/>
  <c r="F56" i="11"/>
  <c r="F49" i="11"/>
  <c r="I49" i="11" s="1"/>
  <c r="F57" i="11"/>
  <c r="I57" i="11" s="1"/>
  <c r="F58" i="11"/>
  <c r="J58" i="11" s="1"/>
  <c r="F50" i="11"/>
  <c r="I50" i="11" s="1"/>
  <c r="F51" i="11"/>
  <c r="I51" i="11" s="1"/>
  <c r="I55" i="11"/>
  <c r="J39" i="11"/>
  <c r="I47" i="11"/>
  <c r="I43" i="11"/>
  <c r="H42" i="11"/>
  <c r="J41" i="11"/>
  <c r="I39" i="11"/>
  <c r="J52" i="11"/>
  <c r="I60" i="11"/>
  <c r="I58" i="11"/>
  <c r="H55" i="11"/>
  <c r="I54" i="11"/>
  <c r="I53" i="11"/>
  <c r="H51" i="11"/>
  <c r="H47" i="11"/>
  <c r="I46" i="11"/>
  <c r="I45" i="11"/>
  <c r="I42" i="11"/>
  <c r="I41" i="11"/>
  <c r="J57" i="11"/>
  <c r="J54" i="11"/>
  <c r="H53" i="11"/>
  <c r="I52" i="11"/>
  <c r="H50" i="11"/>
  <c r="J49" i="11"/>
  <c r="J46" i="11"/>
  <c r="H45" i="11"/>
  <c r="I44" i="11"/>
  <c r="H60" i="11"/>
  <c r="I59" i="11"/>
  <c r="H43" i="11"/>
  <c r="I56" i="11"/>
  <c r="I48" i="11"/>
  <c r="I40" i="11"/>
  <c r="H61" i="11"/>
  <c r="J59" i="11"/>
  <c r="H56" i="11"/>
  <c r="H52" i="11"/>
  <c r="H48" i="11"/>
  <c r="H44" i="11"/>
  <c r="H40" i="11"/>
  <c r="I61" i="11"/>
  <c r="I15" i="11"/>
  <c r="H15" i="11"/>
  <c r="I16" i="11"/>
  <c r="H16" i="11"/>
  <c r="I24" i="11"/>
  <c r="J26" i="11"/>
  <c r="J34" i="11"/>
  <c r="I28" i="11"/>
  <c r="J27" i="11"/>
  <c r="J30" i="11"/>
  <c r="J23" i="11"/>
  <c r="J22" i="11"/>
  <c r="I32" i="11"/>
  <c r="H24" i="11"/>
  <c r="H28" i="11"/>
  <c r="I36" i="11"/>
  <c r="H36" i="11"/>
  <c r="J31" i="11"/>
  <c r="J33" i="11"/>
  <c r="I31" i="11"/>
  <c r="I27" i="11"/>
  <c r="I23" i="11"/>
  <c r="H32" i="11"/>
  <c r="I34" i="11"/>
  <c r="I33" i="11"/>
  <c r="I30" i="11"/>
  <c r="I29" i="11"/>
  <c r="I26" i="11"/>
  <c r="I25" i="11"/>
  <c r="I22" i="11"/>
  <c r="I21" i="11"/>
  <c r="I38" i="11"/>
  <c r="H37" i="11"/>
  <c r="H33" i="11"/>
  <c r="H29" i="11"/>
  <c r="H25" i="11"/>
  <c r="H21" i="11"/>
  <c r="J37" i="11"/>
  <c r="H38" i="11"/>
  <c r="H62" i="11"/>
  <c r="J62" i="11"/>
  <c r="D16" i="60"/>
  <c r="K19" i="11" l="1"/>
  <c r="K20" i="11"/>
  <c r="K51" i="11"/>
  <c r="K50" i="11"/>
  <c r="K42" i="11"/>
  <c r="K53" i="11"/>
  <c r="K52" i="11"/>
  <c r="K41" i="11"/>
  <c r="K46" i="11"/>
  <c r="K55" i="11"/>
  <c r="K56" i="11"/>
  <c r="K45" i="11"/>
  <c r="K39" i="11"/>
  <c r="K44" i="11"/>
  <c r="K59" i="11"/>
  <c r="K43" i="11"/>
  <c r="K49" i="11"/>
  <c r="K54" i="11"/>
  <c r="K47" i="11"/>
  <c r="K58" i="11"/>
  <c r="K57" i="11"/>
  <c r="K60" i="11"/>
  <c r="K40" i="11"/>
  <c r="K48" i="11"/>
  <c r="K61" i="11"/>
  <c r="K15" i="11"/>
  <c r="K16" i="11"/>
  <c r="K26" i="11"/>
  <c r="K31" i="11"/>
  <c r="K24" i="11"/>
  <c r="K34" i="11"/>
  <c r="K30" i="11"/>
  <c r="K25" i="11"/>
  <c r="K28" i="11"/>
  <c r="K22" i="11"/>
  <c r="K27" i="11"/>
  <c r="K36" i="11"/>
  <c r="K33" i="11"/>
  <c r="K23" i="11"/>
  <c r="K21" i="11"/>
  <c r="K32" i="11"/>
  <c r="K38" i="11"/>
  <c r="K29" i="11"/>
  <c r="K37" i="11"/>
  <c r="K62" i="11"/>
  <c r="H68" i="11" l="1"/>
  <c r="E68" i="11"/>
  <c r="G68" i="11"/>
  <c r="D70" i="11"/>
  <c r="J70" i="11" s="1"/>
  <c r="E70" i="11"/>
  <c r="G70" i="11"/>
  <c r="G6" i="11"/>
  <c r="D63" i="11"/>
  <c r="E63" i="11"/>
  <c r="E64" i="11"/>
  <c r="G64" i="11"/>
  <c r="J65" i="11"/>
  <c r="E65" i="11"/>
  <c r="G65" i="11"/>
  <c r="J66" i="11"/>
  <c r="E66" i="11"/>
  <c r="G66" i="11"/>
  <c r="E67" i="11"/>
  <c r="G67" i="11"/>
  <c r="D71" i="11"/>
  <c r="J71" i="11" s="1"/>
  <c r="E71" i="11"/>
  <c r="G71" i="11"/>
  <c r="D72" i="11"/>
  <c r="J72" i="11" s="1"/>
  <c r="E72" i="11"/>
  <c r="G72" i="11"/>
  <c r="H63" i="11" l="1"/>
  <c r="I63" i="11"/>
  <c r="J63" i="11"/>
  <c r="I70" i="11"/>
  <c r="H70" i="11"/>
  <c r="I68" i="11"/>
  <c r="J68" i="11"/>
  <c r="H64" i="11"/>
  <c r="H67" i="11"/>
  <c r="I71" i="11"/>
  <c r="J67" i="11"/>
  <c r="H71" i="11"/>
  <c r="I65" i="11"/>
  <c r="H65" i="11"/>
  <c r="J64" i="11"/>
  <c r="I67" i="11"/>
  <c r="H72" i="11"/>
  <c r="H66" i="11"/>
  <c r="I72" i="11"/>
  <c r="I66" i="11"/>
  <c r="I64" i="11"/>
  <c r="D14" i="11"/>
  <c r="J14" i="11" s="1"/>
  <c r="E14" i="11"/>
  <c r="G14" i="11"/>
  <c r="K19" i="60"/>
  <c r="D19" i="60"/>
  <c r="K63" i="11" l="1"/>
  <c r="K70" i="11"/>
  <c r="K68" i="11"/>
  <c r="K71" i="11"/>
  <c r="K65" i="11"/>
  <c r="K67" i="11"/>
  <c r="K64" i="11"/>
  <c r="K72" i="11"/>
  <c r="K66" i="11"/>
  <c r="H14" i="11"/>
  <c r="I14" i="11"/>
  <c r="K14" i="11" l="1"/>
  <c r="K73" i="11" s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73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73" i="11"/>
  <c r="D74" i="11"/>
  <c r="H74" i="11" s="1"/>
  <c r="E7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7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81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73" i="11"/>
  <c r="J73" i="11" s="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74" i="11"/>
  <c r="I74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74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E295" i="29"/>
  <c r="F295" i="29"/>
  <c r="E258" i="29"/>
  <c r="F258" i="29"/>
  <c r="E237" i="29"/>
  <c r="F237" i="29"/>
  <c r="F58" i="39"/>
  <c r="E58" i="39"/>
  <c r="F60" i="39" s="1"/>
  <c r="H76" i="11"/>
  <c r="H77" i="11" s="1"/>
  <c r="I76" i="11"/>
  <c r="I77" i="11" s="1"/>
  <c r="F337" i="29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45" i="29" l="1"/>
  <c r="F238" i="29"/>
  <c r="F294" i="29"/>
  <c r="F292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78" i="11"/>
  <c r="I78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76" i="11" l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76" i="11"/>
  <c r="J77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K77" i="11" l="1"/>
  <c r="K78" i="11" s="1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7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35" i="41" l="1"/>
  <c r="F728" i="41"/>
  <c r="B79" i="11"/>
  <c r="D10" i="59"/>
  <c r="D11" i="59" s="1"/>
  <c r="F784" i="41"/>
  <c r="F807" i="41"/>
  <c r="F782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<sst xmlns="http://schemas.openxmlformats.org/spreadsheetml/2006/main" count="4742" uniqueCount="1635">
  <si>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</si>
  <si>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</si>
  <si>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</si>
  <si>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</si>
  <si>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</si>
  <si>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</si>
  <si>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</si>
  <si>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</si>
  <si>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</si>
  <si>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</si>
  <si>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</si>
  <si>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</si>
  <si>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</si>
  <si>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</si>
  <si>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</si>
  <si>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</si>
  <si>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</si>
  <si>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</si>
  <si>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</si>
  <si>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</si>
  <si>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</si>
  <si>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</si>
  <si>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</si>
  <si>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</si>
  <si>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</si>
  <si>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</si>
  <si>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</si>
  <si>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</si>
  <si>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</si>
  <si>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</si>
  <si>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</si>
  <si>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</si>
  <si>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</si>
  <si>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</si>
  <si>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</si>
  <si>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</si>
  <si>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</si>
  <si>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</si>
  <si>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</si>
  <si>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</si>
  <si>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</si>
  <si>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</si>
  <si>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</si>
  <si>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</si>
  <si>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</si>
  <si>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</si>
  <si>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</si>
  <si>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</si>
  <si>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</si>
  <si>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</si>
  <si>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</si>
  <si>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</si>
  <si>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</si>
  <si>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</si>
  <si>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</si>
  <si>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</si>
  <si>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</si>
  <si>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</si>
  <si>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</si>
  <si>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</si>
  <si>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</si>
  <si>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</si>
  <si>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</si>
  <si>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</si>
  <si>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</si>
  <si>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</si>
  <si>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</si>
  <si>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</si>
  <si>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</si>
  <si>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</si>
  <si>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</si>
  <si>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</si>
  <si>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</si>
  <si>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</si>
  <si>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</si>
  <si>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</si>
  <si>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</si>
  <si>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</si>
  <si>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</si>
  <si>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</si>
  <si>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</si>
  <si>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</si>
  <si>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</si>
  <si>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</si>
  <si>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</si>
  <si>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</si>
  <si>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</si>
  <si>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</si>
  <si>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</si>
  <si>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</si>
  <si>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</si>
  <si>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</si>
  <si>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</si>
  <si>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</si>
  <si>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</si>
  <si>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</si>
  <si>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</si>
  <si>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</si>
  <si>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</si>
  <si>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</si>
  <si>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</si>
  <si>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</si>
  <si>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</si>
  <si>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</si>
  <si>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</si>
  <si>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</si>
  <si>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</si>
  <si>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</si>
  <si>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</si>
  <si>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</si>
  <si>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</si>
  <si>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</si>
  <si>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</si>
  <si>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</si>
  <si>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</si>
  <si>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</si>
  <si>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</si>
  <si>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</si>
  <si>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</si>
  <si>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</si>
  <si>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</si>
  <si>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</si>
  <si>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</si>
  <si>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</si>
  <si>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</si>
  <si>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</si>
  <si>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</si>
  <si>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</si>
  <si>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</si>
  <si>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</si>
  <si>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</si>
  <si>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</si>
  <si>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</si>
  <si>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</si>
  <si>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</si>
  <si>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</si>
  <si>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</si>
  <si>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</si>
  <si>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</si>
  <si>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</si>
  <si>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</si>
  <si>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</si>
  <si>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</si>
  <si>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</si>
  <si>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</si>
  <si>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</si>
  <si>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</si>
  <si>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</si>
  <si>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</si>
  <si>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</si>
  <si>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</si>
  <si>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</si>
  <si>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</si>
  <si>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</si>
  <si>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</si>
  <si>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</si>
  <si>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</si>
  <si>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</si>
  <si>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</si>
  <si>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</si>
  <si>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</si>
  <si>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</si>
  <si>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</si>
  <si>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</si>
  <si>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</si>
  <si>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</si>
  <si>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</si>
  <si>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</si>
  <si>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</si>
  <si>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</si>
  <si>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</si>
  <si>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</si>
  <si>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</si>
  <si>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</si>
  <si>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</si>
  <si>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</si>
  <si>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</si>
  <si>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</si>
  <si>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</si>
  <si>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</si>
  <si>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</si>
  <si>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</si>
  <si>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</si>
  <si>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</si>
  <si>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</si>
  <si>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</si>
  <si>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</si>
  <si>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</si>
  <si>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</si>
  <si>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</si>
  <si>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</si>
  <si>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</si>
  <si>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</si>
  <si>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</si>
  <si>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</si>
  <si>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</si>
  <si>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</si>
  <si>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</si>
  <si>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</si>
  <si>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</si>
  <si>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</si>
  <si>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</si>
  <si>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</si>
  <si>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</si>
  <si>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</si>
  <si>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</si>
  <si>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</si>
  <si>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</si>
  <si>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</si>
  <si>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</si>
  <si>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</si>
  <si>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</si>
  <si>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</si>
  <si>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</si>
  <si>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</si>
  <si>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</si>
  <si>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</si>
  <si>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</si>
  <si>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</si>
  <si>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</si>
  <si>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</si>
  <si>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</si>
  <si>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</si>
  <si>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</si>
  <si>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</si>
  <si>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</si>
  <si>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</si>
  <si>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</si>
  <si>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</si>
  <si>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</si>
  <si>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</si>
  <si>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</si>
  <si>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</si>
  <si>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</si>
  <si>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</si>
  <si>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</si>
  <si>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</si>
  <si>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</si>
  <si>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</si>
  <si>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</si>
  <si>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</si>
  <si>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</si>
  <si>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</si>
  <si>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</si>
  <si>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</si>
  <si>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</si>
  <si>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</si>
  <si>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</si>
  <si>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</si>
  <si>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</si>
  <si>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</si>
  <si>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</si>
  <si>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</si>
  <si>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</si>
  <si>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</si>
  <si>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</si>
  <si>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</si>
  <si>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</si>
  <si>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</si>
  <si>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</si>
  <si>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</si>
  <si>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</si>
  <si>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</si>
  <si>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</si>
  <si>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</si>
  <si>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</si>
  <si>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</si>
  <si>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</si>
  <si>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</si>
  <si>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</si>
  <si>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</si>
  <si>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</si>
  <si>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</si>
  <si>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</si>
  <si>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</si>
  <si>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</si>
  <si>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</si>
  <si>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</si>
  <si>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</si>
  <si>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</si>
  <si>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</si>
  <si>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</si>
  <si>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</si>
  <si>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</si>
  <si>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</si>
  <si>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</si>
  <si>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</si>
  <si>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</si>
  <si>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</si>
  <si>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</si>
  <si>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</si>
  <si>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</si>
  <si>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</si>
  <si>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</si>
  <si>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</si>
  <si>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</si>
  <si>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</si>
  <si>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</si>
  <si>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</si>
  <si>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</si>
  <si>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</si>
  <si>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</si>
  <si>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</si>
  <si>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</si>
  <si>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</si>
  <si>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</si>
  <si>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</si>
  <si>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</si>
  <si>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</si>
  <si>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</si>
  <si>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</si>
  <si>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</si>
  <si>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</si>
  <si>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</si>
  <si>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</si>
  <si>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</si>
  <si>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</si>
  <si>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</si>
  <si>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</si>
  <si>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</si>
  <si>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</si>
  <si>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</si>
  <si>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</si>
  <si>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</si>
  <si>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</si>
  <si>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</si>
  <si>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</si>
  <si>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</si>
  <si>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</si>
  <si>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</si>
  <si>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</si>
  <si>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</si>
  <si>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</si>
  <si>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</si>
  <si>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</si>
  <si>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</si>
  <si>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</si>
  <si>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</si>
  <si>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</si>
  <si>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</si>
  <si>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</si>
  <si>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</si>
  <si>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</si>
  <si>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</si>
  <si>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</si>
  <si>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</si>
  <si>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</si>
  <si>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</si>
  <si>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</si>
  <si>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</si>
  <si>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</si>
  <si>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</si>
  <si>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</si>
  <si>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</si>
  <si>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</si>
  <si>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</si>
  <si>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</si>
  <si>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</si>
  <si>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</si>
  <si>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</si>
  <si>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</si>
  <si>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</si>
  <si>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</si>
  <si>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</si>
  <si>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</si>
  <si>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</si>
  <si>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</si>
  <si>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</si>
  <si>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</si>
  <si>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</si>
  <si>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</si>
  <si>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</si>
  <si>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</si>
  <si>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</si>
  <si>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</si>
  <si>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</si>
  <si>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</si>
  <si>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</si>
  <si>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</si>
  <si>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</si>
  <si>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</si>
  <si>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</si>
  <si>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</si>
  <si>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</si>
  <si>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</si>
  <si>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</si>
  <si>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</si>
  <si>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</si>
  <si>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</si>
  <si>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</si>
  <si>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</si>
  <si>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</si>
  <si>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</si>
  <si>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</si>
  <si>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</si>
  <si>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</si>
  <si>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</si>
  <si>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</si>
  <si>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</si>
  <si>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</si>
  <si>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</si>
  <si>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</si>
  <si>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</si>
  <si>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</si>
  <si>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</si>
  <si>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</si>
  <si>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</si>
  <si>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</si>
  <si>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</si>
  <si>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</si>
  <si>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</si>
  <si>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</si>
  <si>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</si>
  <si>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</si>
  <si>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</si>
  <si>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</si>
  <si>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</si>
  <si>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</si>
  <si>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</si>
  <si>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</si>
  <si>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</si>
  <si>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</si>
  <si>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</si>
  <si>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</si>
  <si>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</si>
  <si>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</si>
  <si>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</si>
  <si>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</si>
  <si>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</si>
  <si>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</si>
  <si>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</si>
  <si>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</si>
  <si>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</si>
  <si>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</si>
  <si>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</si>
  <si>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</si>
  <si>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</si>
  <si>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</si>
  <si>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</si>
  <si>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</si>
  <si>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</si>
  <si>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</si>
  <si>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</si>
  <si>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</si>
  <si>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</si>
  <si>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</si>
  <si>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</si>
  <si>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</si>
  <si>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</si>
  <si>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</si>
  <si>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</si>
  <si>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</si>
  <si>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</si>
  <si>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</si>
  <si>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</si>
  <si>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</si>
  <si>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</si>
  <si>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</si>
  <si>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</si>
  <si>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</si>
  <si>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</si>
  <si>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</si>
  <si>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</si>
  <si>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</si>
  <si>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</si>
  <si>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</si>
  <si>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</si>
  <si>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</si>
  <si>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</si>
  <si>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</si>
  <si>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</si>
  <si>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</si>
  <si>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</si>
  <si>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</si>
  <si>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</si>
  <si>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</si>
  <si>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</si>
  <si>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</si>
  <si>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</si>
  <si>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</si>
  <si>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</si>
  <si>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</si>
  <si>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</si>
  <si>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</si>
  <si>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</si>
  <si>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</si>
  <si>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</si>
  <si>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</si>
  <si>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</si>
  <si>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</si>
  <si>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</si>
  <si>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</si>
  <si>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</si>
  <si>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</si>
  <si>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</si>
  <si>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</si>
  <si>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</si>
  <si>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</si>
  <si>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</si>
  <si>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</si>
  <si>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</si>
  <si>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</si>
  <si>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</si>
  <si>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</si>
  <si>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</si>
  <si>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</si>
  <si>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</si>
  <si>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</si>
  <si>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</si>
  <si>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</si>
  <si>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</si>
  <si>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</si>
  <si>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</si>
  <si>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</si>
  <si>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</si>
  <si>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</si>
  <si>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</si>
  <si>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</si>
  <si>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</si>
  <si>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</si>
  <si>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</si>
  <si>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</si>
  <si>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</si>
  <si>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</si>
  <si>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</si>
  <si>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</si>
  <si>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</si>
  <si>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</si>
  <si>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</si>
  <si>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</si>
  <si>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</si>
  <si>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</si>
  <si>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</si>
  <si>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</si>
  <si>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</si>
  <si>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</si>
  <si>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</si>
  <si>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</si>
  <si>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</si>
  <si>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</si>
  <si>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</si>
  <si>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</si>
  <si>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</si>
  <si>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</si>
  <si>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</si>
  <si>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</si>
  <si>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</si>
  <si>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</si>
  <si>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</si>
  <si>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</si>
  <si>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</si>
  <si>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</si>
  <si>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</si>
  <si>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</si>
  <si>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</si>
  <si>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</si>
  <si>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</si>
  <si>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</si>
  <si>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</si>
  <si>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</si>
  <si>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</si>
  <si>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</si>
  <si>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</si>
  <si>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</si>
  <si>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</si>
  <si>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</si>
  <si>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</si>
  <si>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</si>
  <si>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</si>
  <si>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</si>
  <si>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</si>
  <si>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</si>
  <si>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</si>
  <si>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</si>
  <si>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</si>
  <si>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</si>
  <si>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</si>
  <si>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</si>
  <si>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</si>
  <si>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</si>
  <si>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</si>
  <si>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</si>
  <si>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</si>
  <si>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</si>
  <si>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</si>
  <si>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</si>
  <si>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</si>
  <si>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</si>
  <si>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</si>
  <si>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</si>
  <si>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</si>
  <si>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</si>
  <si>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</si>
  <si>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</si>
  <si>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</si>
  <si>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</si>
  <si>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</si>
  <si>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</si>
  <si>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</si>
  <si>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</si>
  <si>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</si>
  <si>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</si>
  <si>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</si>
  <si>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</si>
  <si>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</si>
  <si>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</si>
  <si>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</si>
  <si>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</si>
  <si>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</si>
  <si>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</si>
  <si>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</si>
  <si>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</si>
  <si>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</si>
  <si>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</si>
  <si>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</si>
  <si>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</si>
  <si>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</si>
  <si>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</si>
  <si>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</si>
  <si>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</si>
  <si>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</si>
  <si>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</si>
  <si>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</si>
  <si>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</si>
  <si>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</si>
  <si>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</si>
  <si>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</si>
  <si>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</si>
  <si>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</si>
  <si>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</si>
  <si>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</si>
  <si>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</si>
  <si>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</si>
  <si>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</si>
  <si>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</si>
  <si>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</si>
  <si>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</si>
  <si>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</si>
  <si>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</si>
  <si>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</si>
  <si>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</si>
  <si>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</si>
  <si>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</si>
  <si>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</si>
  <si>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</si>
  <si>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</si>
  <si>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</si>
  <si>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</si>
  <si>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</si>
  <si>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</si>
  <si>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</si>
  <si>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</si>
  <si>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</si>
  <si>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</si>
  <si>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</si>
  <si>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</si>
  <si>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</si>
  <si>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</si>
  <si>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</si>
  <si>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</si>
  <si>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</si>
  <si>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</si>
  <si>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</si>
  <si>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</si>
  <si>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</si>
  <si>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</si>
  <si>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</si>
  <si>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</si>
  <si>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</si>
  <si>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</si>
  <si>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</si>
  <si>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</si>
  <si>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</si>
  <si>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</si>
  <si>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</si>
  <si>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</si>
  <si>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</si>
  <si>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</si>
  <si>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</si>
  <si>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</si>
  <si>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</si>
  <si>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</si>
  <si>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</si>
  <si>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</si>
  <si>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</si>
  <si>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</si>
  <si>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</si>
  <si>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</si>
  <si>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</si>
  <si>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</si>
  <si>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</si>
  <si>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</si>
  <si>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</si>
  <si>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</si>
  <si>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</si>
  <si>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</si>
  <si>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</si>
  <si>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</si>
  <si>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</si>
  <si>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</si>
  <si>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</si>
  <si>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</si>
  <si>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</si>
  <si>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</si>
  <si>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</si>
  <si>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</si>
  <si>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</si>
  <si>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</si>
  <si>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</si>
  <si>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</si>
  <si>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</si>
  <si>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</si>
  <si>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</si>
  <si>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</si>
  <si>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</si>
  <si>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</si>
  <si>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</si>
  <si>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</si>
  <si>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</si>
  <si>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</si>
  <si>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</si>
  <si>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</si>
  <si>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</si>
  <si>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</si>
  <si>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</si>
  <si>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</si>
  <si>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</si>
  <si>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</si>
  <si>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</si>
  <si>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</si>
  <si>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</si>
  <si>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</si>
  <si>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</si>
  <si>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</si>
  <si>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</si>
  <si>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</si>
  <si>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</si>
  <si>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</si>
  <si>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</si>
  <si>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</si>
  <si>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</si>
  <si>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</si>
  <si>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</si>
  <si>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</si>
  <si>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</si>
  <si>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</si>
  <si>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</si>
  <si>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</si>
  <si>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</si>
  <si>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</si>
  <si>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</si>
  <si>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</si>
  <si>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</si>
  <si>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</si>
  <si>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</si>
  <si>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</si>
  <si>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</si>
  <si>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</si>
  <si>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</si>
  <si>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</si>
  <si>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</si>
  <si>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</si>
  <si>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</si>
  <si>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</si>
  <si>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</si>
  <si>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</si>
  <si>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</si>
  <si>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</si>
  <si>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</si>
  <si>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</si>
  <si>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</si>
  <si>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</si>
  <si>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</si>
  <si>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</si>
  <si>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</si>
  <si>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</si>
  <si>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</si>
  <si>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</si>
  <si>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</si>
  <si>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</si>
  <si>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</si>
  <si>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</si>
  <si>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</si>
  <si>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</si>
  <si>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</si>
  <si>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</si>
  <si>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</si>
  <si>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</si>
  <si>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</si>
  <si>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</si>
  <si>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</si>
  <si>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</si>
  <si>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</si>
  <si>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</si>
  <si>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</si>
  <si>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</si>
  <si>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</si>
  <si>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</si>
  <si>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</si>
  <si>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</si>
  <si>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</si>
  <si>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</si>
  <si>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</si>
  <si>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</si>
  <si>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</si>
  <si>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</si>
  <si>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</si>
  <si>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</si>
  <si>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</si>
  <si>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</si>
  <si>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</si>
  <si>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</si>
  <si>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</si>
  <si>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</si>
  <si>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</si>
  <si>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</si>
  <si>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</si>
  <si>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</si>
  <si>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</si>
  <si>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</si>
  <si>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</si>
  <si>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</si>
  <si>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</si>
  <si>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</si>
  <si>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</si>
  <si>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</si>
  <si>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</si>
  <si>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</si>
  <si>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</si>
  <si>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</si>
  <si>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</si>
  <si>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</si>
  <si>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</si>
  <si>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</si>
  <si>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</si>
  <si>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</si>
  <si>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</si>
  <si>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</si>
  <si>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</si>
  <si>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</si>
  <si>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</si>
  <si>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</si>
  <si>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</si>
  <si>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</si>
  <si>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</si>
  <si>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</si>
  <si>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</si>
  <si>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</si>
  <si>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</si>
  <si>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</si>
  <si>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</si>
  <si>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</si>
  <si>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</si>
  <si>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</si>
  <si>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</si>
  <si>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</si>
  <si>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</si>
  <si>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</si>
  <si>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</si>
  <si>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</si>
  <si>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</si>
  <si>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</si>
  <si>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</si>
  <si>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</si>
  <si>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</si>
  <si>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</si>
  <si>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</si>
  <si>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</si>
  <si>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</si>
  <si>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</si>
  <si>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</si>
  <si>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</si>
  <si>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</si>
  <si>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</si>
  <si>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</si>
  <si>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</si>
  <si>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</si>
  <si>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</si>
  <si>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</si>
  <si>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</si>
  <si>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</si>
  <si>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</si>
  <si>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</si>
  <si>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</si>
  <si>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</si>
  <si>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</si>
  <si>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</si>
  <si>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</si>
  <si>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</si>
  <si>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</si>
  <si>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</si>
  <si>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</si>
  <si>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</si>
  <si>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</si>
  <si>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</si>
  <si>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</si>
  <si>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</si>
  <si>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</si>
  <si>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</si>
  <si>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</si>
  <si>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</si>
  <si>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</si>
  <si>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</si>
  <si>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</si>
  <si>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</si>
  <si>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</si>
  <si>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</si>
  <si>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</si>
  <si>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</si>
  <si>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</si>
  <si>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</si>
  <si>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</si>
  <si>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</si>
  <si>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</si>
  <si>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</si>
  <si>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</si>
  <si>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</si>
  <si>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</si>
  <si>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</si>
  <si>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</si>
  <si>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</si>
  <si>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</si>
  <si>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</si>
  <si>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</si>
  <si>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</si>
  <si>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</si>
  <si>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</si>
  <si>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</si>
  <si>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</si>
  <si>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</si>
  <si>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</si>
  <si>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</si>
  <si>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</si>
  <si>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</si>
  <si>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</si>
  <si>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</si>
  <si>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</si>
  <si>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</si>
  <si>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</si>
  <si>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</si>
  <si>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</si>
  <si>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</si>
  <si>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</si>
  <si>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</si>
  <si>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</si>
  <si>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</si>
  <si>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</si>
  <si>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</si>
  <si>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</si>
  <si>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</si>
  <si>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</si>
  <si>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</si>
  <si>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</si>
  <si>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</si>
  <si>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</si>
  <si>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</si>
  <si>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</si>
  <si>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</si>
  <si>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</si>
  <si>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</si>
  <si>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</si>
  <si>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</si>
  <si>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</si>
  <si>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</si>
  <si>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</si>
  <si>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</si>
  <si>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</si>
  <si>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</si>
  <si>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</si>
  <si>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</si>
  <si>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</si>
  <si>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</si>
  <si>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</si>
  <si>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</si>
  <si>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</si>
  <si>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</si>
  <si>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</si>
  <si>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</si>
  <si>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</si>
  <si>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</si>
  <si>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</si>
  <si>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</si>
  <si>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</si>
  <si>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</si>
  <si>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</si>
  <si>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</si>
  <si>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</si>
  <si>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</si>
  <si>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</si>
  <si>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</si>
  <si>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</si>
  <si>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</si>
  <si>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</si>
  <si>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</si>
  <si>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</si>
  <si>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</si>
  <si>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</si>
  <si>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</si>
  <si>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</si>
  <si>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</si>
  <si>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</si>
  <si>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</si>
  <si>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</si>
  <si>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</si>
  <si>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</si>
  <si>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</si>
  <si>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</si>
  <si>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</si>
  <si>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</si>
  <si>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</si>
  <si>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</si>
  <si>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</si>
  <si>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</si>
  <si>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</si>
  <si>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</si>
  <si>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</si>
  <si>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</si>
  <si>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</si>
  <si>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</si>
  <si>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</si>
  <si>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</si>
  <si>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</si>
  <si>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</si>
  <si>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</si>
  <si>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</si>
  <si>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</si>
  <si>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</si>
  <si>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</si>
  <si>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</si>
  <si>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</si>
  <si>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</si>
  <si>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</si>
  <si>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</si>
  <si>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</si>
  <si>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</si>
  <si>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</si>
  <si>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</si>
  <si>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</si>
  <si>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</si>
  <si>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</si>
  <si>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</si>
  <si>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</si>
  <si>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</si>
  <si>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</si>
  <si>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</si>
  <si>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</si>
  <si>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</si>
  <si>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</si>
  <si>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</si>
  <si>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</si>
  <si>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</si>
  <si>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</si>
  <si>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</si>
  <si>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</si>
  <si>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</si>
  <si>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</si>
  <si>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</si>
  <si>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</si>
  <si>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</si>
  <si>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</si>
  <si>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</si>
  <si>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</si>
  <si>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</si>
  <si>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</si>
  <si>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</si>
  <si>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</si>
  <si>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</si>
  <si>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</si>
  <si>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</si>
  <si>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</si>
  <si>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</si>
  <si>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</si>
  <si>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</si>
  <si>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</si>
  <si>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</si>
  <si>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</si>
  <si>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</si>
  <si>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</si>
  <si>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</si>
  <si>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</si>
  <si>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</si>
  <si>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</si>
  <si>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</si>
  <si>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</si>
  <si>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</si>
  <si>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</si>
  <si>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</si>
  <si>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</si>
  <si>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</si>
  <si>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</si>
  <si>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</si>
  <si>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</si>
  <si>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</si>
  <si>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</si>
  <si>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</si>
  <si>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</si>
  <si>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</si>
  <si>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</si>
  <si>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</si>
  <si>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</si>
  <si>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</si>
  <si>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</si>
  <si>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</si>
  <si>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</si>
  <si>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</si>
  <si>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</si>
  <si>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</si>
  <si>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</si>
  <si>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</si>
  <si>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</si>
  <si>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</si>
  <si>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</si>
  <si>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</si>
  <si>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</si>
  <si>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</si>
  <si>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</si>
  <si>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</si>
  <si>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</si>
  <si>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</si>
  <si>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</si>
  <si>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</si>
  <si>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</si>
  <si>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</si>
  <si>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</si>
  <si>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</si>
  <si>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</si>
  <si>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</si>
  <si>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</si>
  <si>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</si>
  <si>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</si>
  <si>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</si>
  <si>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</si>
  <si>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</si>
  <si>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</si>
  <si>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</si>
  <si>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</si>
  <si>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</si>
  <si>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</si>
  <si>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</si>
  <si>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</si>
  <si>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</si>
  <si>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</si>
  <si>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</si>
  <si>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</si>
  <si>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</si>
  <si>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</si>
  <si>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</si>
  <si>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</si>
  <si>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</si>
  <si>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</si>
  <si>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</si>
  <si>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</si>
  <si>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</si>
  <si>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</si>
  <si>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</si>
  <si>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</si>
  <si>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</si>
  <si>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</si>
  <si>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</si>
  <si>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</si>
  <si>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</si>
  <si>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</si>
  <si>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</si>
  <si>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</si>
  <si>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</si>
  <si>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</si>
  <si>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</si>
  <si>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</si>
  <si>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</si>
  <si>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</si>
  <si>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</si>
  <si>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</si>
  <si>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</si>
  <si>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</si>
  <si>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</si>
  <si>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</si>
  <si>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</si>
  <si>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</si>
  <si>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</si>
  <si>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</si>
  <si>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</si>
  <si>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</si>
  <si>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</si>
  <si>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</si>
  <si>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</si>
  <si>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</si>
  <si>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</si>
  <si>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</si>
  <si>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</si>
  <si>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</si>
  <si>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</si>
  <si>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</si>
  <si>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</si>
  <si>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</si>
  <si>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</si>
  <si>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</si>
  <si>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</si>
  <si>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</si>
  <si>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</si>
  <si>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</si>
  <si>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</si>
  <si>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</si>
  <si>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</si>
  <si>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</si>
  <si>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</si>
  <si>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</si>
  <si>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</si>
  <si>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</si>
  <si>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</si>
  <si>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</si>
  <si>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</si>
  <si>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</si>
  <si>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</si>
  <si>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</si>
  <si>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</si>
  <si>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</si>
  <si>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</si>
  <si>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</si>
  <si>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</si>
  <si>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</si>
  <si>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</si>
  <si>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</si>
  <si>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</si>
  <si>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</si>
  <si>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</si>
  <si>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</si>
  <si>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</si>
  <si>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</si>
  <si>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</si>
  <si>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</si>
  <si>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</si>
  <si>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</si>
  <si>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</si>
  <si>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</si>
  <si>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</si>
  <si>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</si>
  <si>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</si>
  <si>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</si>
  <si>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</si>
  <si>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</si>
  <si>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</si>
  <si>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</si>
  <si>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</si>
  <si>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</si>
  <si>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</si>
  <si>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</si>
  <si>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</si>
  <si>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</si>
  <si>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</si>
  <si>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</si>
  <si>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</si>
  <si>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</si>
  <si>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</si>
  <si>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</si>
  <si>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</si>
  <si>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</si>
  <si>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</si>
  <si>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</si>
  <si>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</si>
  <si>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</si>
  <si>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</si>
  <si>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</si>
  <si>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</si>
  <si>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</si>
  <si>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</si>
  <si>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</si>
  <si>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</si>
  <si>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</si>
  <si>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</si>
  <si>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</si>
  <si>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</si>
  <si>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</si>
  <si>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</si>
  <si>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</si>
  <si>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</si>
  <si>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</si>
  <si>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</si>
  <si>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</si>
  <si>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</si>
  <si>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</si>
  <si>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</si>
  <si>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</si>
  <si>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</si>
  <si>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</si>
  <si>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</si>
  <si>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</si>
  <si>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</si>
  <si>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</si>
  <si>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</si>
  <si>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</si>
  <si>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</si>
  <si>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</si>
  <si>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</si>
  <si>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</si>
  <si>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</si>
  <si>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</si>
  <si>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</si>
  <si>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</si>
  <si>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</si>
  <si>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</si>
  <si>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</si>
  <si>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</si>
  <si>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</si>
  <si>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</si>
  <si>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</si>
  <si>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</si>
  <si>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</si>
  <si>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</si>
  <si>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</si>
  <si>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</si>
  <si>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</si>
  <si>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</si>
  <si>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</si>
  <si>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</si>
  <si>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</si>
  <si>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</si>
  <si>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</si>
  <si>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</si>
  <si>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</si>
  <si>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</si>
  <si>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</si>
  <si>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</si>
  <si>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</si>
  <si>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</si>
  <si>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</si>
  <si>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</si>
  <si>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</si>
  <si>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</si>
  <si>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</si>
  <si>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</si>
  <si>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</si>
  <si>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</si>
  <si>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</si>
  <si>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</si>
  <si>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</si>
  <si>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</si>
  <si>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</si>
  <si>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</si>
  <si>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</si>
  <si>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</si>
  <si>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</si>
  <si>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</si>
  <si>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</si>
  <si>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</si>
  <si>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</si>
  <si>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</si>
  <si>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</si>
  <si>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</si>
  <si>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</si>
  <si>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</si>
  <si>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</si>
  <si>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</si>
  <si>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</si>
  <si>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</si>
  <si>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</si>
  <si>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</si>
  <si>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</si>
  <si>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</si>
  <si>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</si>
  <si>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</si>
  <si>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</si>
  <si>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</si>
  <si>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</si>
  <si>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</si>
  <si>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</si>
  <si>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</si>
  <si>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</si>
  <si>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</si>
  <si>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</si>
  <si>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</si>
  <si>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</si>
  <si>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</si>
  <si>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</si>
  <si>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</si>
  <si>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</si>
  <si>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</si>
  <si>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</si>
  <si>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</si>
  <si>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</si>
  <si>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</si>
  <si>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</si>
  <si>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</si>
  <si>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</si>
  <si>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</si>
  <si>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</si>
  <si>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</si>
  <si>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</si>
  <si>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</si>
  <si>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</si>
  <si>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</si>
  <si>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</si>
  <si>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</si>
  <si>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</si>
  <si>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</si>
  <si>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</si>
  <si>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</si>
  <si>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</si>
  <si>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</si>
  <si>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</si>
  <si>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</si>
  <si>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</si>
  <si>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</si>
  <si>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</si>
  <si>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</si>
  <si>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</si>
  <si>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</si>
  <si>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</si>
  <si>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</si>
  <si>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</si>
  <si>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</si>
  <si>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</si>
  <si>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</si>
  <si>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</si>
  <si>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</si>
  <si>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</si>
  <si>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</si>
  <si>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</si>
  <si>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</si>
  <si>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</si>
  <si>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</si>
  <si>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</si>
  <si>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</si>
  <si>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</si>
  <si>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</si>
  <si>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</si>
  <si>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</si>
  <si>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</si>
  <si>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</si>
  <si>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</si>
  <si>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</si>
  <si>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</si>
  <si>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</si>
  <si>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</si>
  <si>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</si>
  <si>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</si>
  <si>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</si>
  <si>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</si>
  <si>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</si>
  <si>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</si>
  <si>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</si>
  <si>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</si>
  <si>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</si>
  <si>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</si>
  <si>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</si>
  <si>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</si>
  <si>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</si>
  <si>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</si>
  <si>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</si>
  <si>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</si>
  <si>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</si>
  <si>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</si>
  <si>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</si>
  <si>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</si>
  <si>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</si>
  <si>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</si>
  <si>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</si>
  <si>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</si>
  <si>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</si>
  <si>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</si>
  <si>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</si>
  <si>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</si>
  <si>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</si>
  <si>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</si>
  <si>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</si>
  <si>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</si>
  <si>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</si>
  <si>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</si>
  <si>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</si>
  <si>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</si>
  <si>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</si>
  <si>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</si>
  <si>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</si>
  <si>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</si>
  <si>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</si>
  <si>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</si>
  <si>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</si>
  <si>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</si>
  <si>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</si>
  <si>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</si>
  <si>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</si>
  <si>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</si>
  <si>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</si>
  <si>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</si>
  <si>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</si>
  <si>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</si>
  <si>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</si>
  <si>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</si>
  <si>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</si>
  <si>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</si>
  <si>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</si>
  <si>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</si>
  <si>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</si>
  <si>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</si>
  <si>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</si>
  <si>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</si>
  <si>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</si>
  <si>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</si>
  <si>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</si>
  <si>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</si>
  <si>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</si>
  <si>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</si>
  <si>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</si>
  <si>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</si>
  <si>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</si>
  <si>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</si>
  <si>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</si>
  <si>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</si>
  <si>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</si>
  <si>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</si>
  <si>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</si>
  <si>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</si>
  <si>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</si>
  <si>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</si>
  <si>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</si>
  <si>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</si>
  <si>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</si>
  <si>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</si>
  <si>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</si>
  <si>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</si>
  <si>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</si>
  <si>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</si>
  <si>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</si>
  <si>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</si>
  <si>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</si>
  <si>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</si>
  <si>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</si>
  <si>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</si>
  <si>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</si>
  <si>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</si>
  <si>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</si>
  <si>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</si>
  <si>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</si>
  <si>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</si>
  <si>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</si>
  <si>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</si>
  <si>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</si>
  <si>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</si>
  <si>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</si>
  <si>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</si>
  <si>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</si>
  <si>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</si>
  <si>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</si>
  <si>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</si>
  <si>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</si>
  <si>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</si>
  <si>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</si>
  <si>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</si>
  <si>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</si>
  <si>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</si>
  <si>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</si>
  <si>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</si>
  <si>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</si>
  <si>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</si>
  <si>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</si>
  <si>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</si>
  <si>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</si>
  <si>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</si>
  <si>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</si>
  <si>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</si>
  <si>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</si>
  <si>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</si>
  <si>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</si>
  <si>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</si>
  <si>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</si>
  <si>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</si>
  <si>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</si>
  <si>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</si>
  <si>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</si>
  <si>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</si>
  <si>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</si>
  <si>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</si>
  <si>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</si>
  <si>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</si>
  <si>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</si>
  <si>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</si>
  <si>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</si>
  <si>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</si>
  <si>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</si>
  <si>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</si>
  <si>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</si>
  <si>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</si>
  <si>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</si>
  <si>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</si>
  <si>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</si>
  <si>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</si>
  <si>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</si>
  <si>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</si>
  <si>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</si>
  <si>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</si>
  <si>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</si>
  <si>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</si>
  <si>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</si>
  <si>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</si>
  <si>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</si>
  <si>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</si>
  <si>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</si>
  <si>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</si>
  <si>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</si>
  <si>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</si>
  <si>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</si>
  <si>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</si>
  <si>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</si>
  <si>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</si>
  <si>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</si>
  <si>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</si>
  <si>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</si>
  <si>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</si>
  <si>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</si>
  <si>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III</t>
  </si>
  <si>
    <t>IV</t>
  </si>
  <si>
    <t>PEKERJAAN LAIN-LAIN</t>
  </si>
  <si>
    <t xml:space="preserve">Pemasangan APP </t>
  </si>
  <si>
    <t>KONSTRUKSI JTR 3 PHASE</t>
  </si>
  <si>
    <t>CJ5-T</t>
  </si>
  <si>
    <t>CJ6-T</t>
  </si>
  <si>
    <t>CONDUKTOR</t>
  </si>
  <si>
    <t>CE1-3</t>
  </si>
  <si>
    <t>F1-3</t>
  </si>
  <si>
    <t>CM2-12A</t>
  </si>
  <si>
    <t>SCHOOR</t>
  </si>
  <si>
    <t>T1-180/64/41</t>
  </si>
  <si>
    <t>PWI 06</t>
  </si>
  <si>
    <t>=</t>
  </si>
  <si>
    <t>R1</t>
  </si>
  <si>
    <t>JL STASIUN BINTORO DEMAK</t>
  </si>
  <si>
    <t>KOORDINAT : -6.901379, 110.634156</t>
  </si>
  <si>
    <t>Daya 1.300 VA</t>
  </si>
  <si>
    <t>Demak, 05 Februari 2024</t>
  </si>
  <si>
    <t>MANAGER</t>
  </si>
  <si>
    <t>ACHMAD SUHENDRO</t>
  </si>
  <si>
    <t>Staff Teknik</t>
  </si>
  <si>
    <t>TL Teknik</t>
  </si>
  <si>
    <t>Manager Unit</t>
  </si>
  <si>
    <t>Manager Perencanaan</t>
  </si>
  <si>
    <t>KOS UCIT LUSIATI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</si>
</sst>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167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67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180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7" fontId="36" fillId="0" borderId="0" applyFont="0" applyFill="0" applyBorder="0" applyAlignment="0" applyProtection="0"/>
    <xf numFmtId="177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8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7" fillId="0" borderId="0" applyFont="0" applyFill="0" applyBorder="0" applyAlignment="0" applyProtection="0"/>
    <xf numFmtId="185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206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6" fontId="36" fillId="0" borderId="3"/>
    <xf numFmtId="186" fontId="22" fillId="0" borderId="3"/>
    <xf numFmtId="164" fontId="23" fillId="0" borderId="0" applyFont="0" applyFill="0" applyBorder="0" applyAlignment="0" applyProtection="0"/>
    <xf numFmtId="164" fontId="48" fillId="0" borderId="0" applyFont="0" applyFill="0" applyBorder="0" applyAlignment="0" applyProtection="0"/>
    <xf numFmtId="173" fontId="36" fillId="0" borderId="0" applyFont="0" applyFill="0" applyBorder="0" applyAlignment="0" applyProtection="0"/>
    <xf numFmtId="173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66" fontId="36" fillId="0" borderId="0" applyFont="0" applyFill="0" applyBorder="0" applyAlignment="0" applyProtection="0"/>
    <xf numFmtId="166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70" fillId="0" borderId="0" applyFont="0" applyFill="0" applyBorder="0" applyAlignment="0" applyProtection="0"/>
    <xf numFmtId="188" fontId="72" fillId="0" borderId="0">
      <protection locked="0"/>
    </xf>
    <xf numFmtId="14" fontId="64" fillId="0" borderId="0" applyFill="0" applyBorder="0" applyAlignment="0"/>
    <xf numFmtId="189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90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1" fontId="77" fillId="0" borderId="0">
      <protection locked="0"/>
    </xf>
    <xf numFmtId="191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2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3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22" fillId="0" borderId="0"/>
    <xf numFmtId="193" fontId="36" fillId="0" borderId="0"/>
    <xf numFmtId="172" fontId="83" fillId="0" borderId="0"/>
    <xf numFmtId="172" fontId="84" fillId="0" borderId="0"/>
    <xf numFmtId="172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4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2" fontId="84" fillId="0" borderId="0"/>
    <xf numFmtId="0" fontId="84" fillId="0" borderId="0"/>
    <xf numFmtId="195" fontId="84" fillId="0" borderId="0"/>
    <xf numFmtId="196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5" fontId="84" fillId="0" borderId="0"/>
    <xf numFmtId="0" fontId="84" fillId="0" borderId="0"/>
    <xf numFmtId="0" fontId="36" fillId="0" borderId="0"/>
    <xf numFmtId="0" fontId="22" fillId="0" borderId="0"/>
    <xf numFmtId="182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7" fontId="84" fillId="0" borderId="0"/>
    <xf numFmtId="199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4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4" fontId="43" fillId="0" borderId="0"/>
    <xf numFmtId="194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200" fontId="36" fillId="0" borderId="0" applyFont="0" applyFill="0" applyBorder="0" applyAlignment="0" applyProtection="0"/>
    <xf numFmtId="200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4" fillId="0" borderId="0"/>
    <xf numFmtId="201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36" fillId="0" borderId="0" applyFill="0" applyBorder="0" applyAlignment="0"/>
    <xf numFmtId="203" fontId="22" fillId="0" borderId="0" applyFill="0" applyBorder="0" applyAlignment="0"/>
    <xf numFmtId="204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9" fillId="0" borderId="0"/>
    <xf numFmtId="41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41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6" fillId="0" borderId="0"/>
    <xf numFmtId="41" fontId="22" fillId="0" borderId="0" applyFont="0" applyFill="0" applyBorder="0" applyAlignment="0" applyProtection="0"/>
    <xf numFmtId="0" fontId="6" fillId="0" borderId="0"/>
    <xf numFmtId="43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6" fillId="0" borderId="0"/>
    <xf numFmtId="0" fontId="16" fillId="0" borderId="0"/>
    <xf numFmtId="0" fontId="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100"/>
    <xf numFmtId="0" fontId="89" fillId="0" borderId="101"/>
    <xf numFmtId="43" fontId="22" fillId="0" borderId="0" applyFont="0" applyFill="0" applyBorder="0" applyAlignment="0" applyProtection="0"/>
  </cellStyleXfs>
  <cellXfs count="711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165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165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165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167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9" fontId="45" fillId="0" borderId="0" xfId="714" applyFont="1" applyFill="1" applyAlignment="1">
      <alignment horizontal="center" wrapText="1"/>
    </xf>
    <xf numFmtId="169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9" fontId="45" fillId="0" borderId="21" xfId="715" applyNumberFormat="1" applyFont="1" applyFill="1" applyBorder="1" applyAlignment="1">
      <alignment horizontal="center" vertical="center" wrapText="1"/>
    </xf>
    <xf numFmtId="169" fontId="45" fillId="0" borderId="21" xfId="714" applyFont="1" applyFill="1" applyBorder="1" applyAlignment="1">
      <alignment horizontal="center" vertical="center" wrapText="1"/>
    </xf>
    <xf numFmtId="169" fontId="45" fillId="0" borderId="33" xfId="714" applyFont="1" applyFill="1" applyBorder="1" applyAlignment="1">
      <alignment horizontal="center" vertical="center" wrapText="1"/>
    </xf>
    <xf numFmtId="167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167" fontId="44" fillId="0" borderId="0" xfId="1615" applyNumberFormat="1" applyFont="1" applyAlignment="1">
      <alignment horizontal="left" vertical="center"/>
    </xf>
    <xf numFmtId="167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7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165" fontId="96" fillId="0" borderId="0" xfId="1448" applyNumberFormat="1" applyFont="1" applyAlignment="1">
      <alignment wrapText="1"/>
    </xf>
    <xf numFmtId="165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9" fontId="45" fillId="0" borderId="21" xfId="717" applyNumberFormat="1" applyFont="1" applyFill="1" applyBorder="1" applyAlignment="1" applyProtection="1">
      <alignment horizontal="center" vertical="center" wrapText="1"/>
    </xf>
    <xf numFmtId="165" fontId="45" fillId="0" borderId="21" xfId="1451" applyNumberFormat="1" applyFont="1" applyBorder="1" applyAlignment="1">
      <alignment horizontal="center" vertical="center" wrapText="1"/>
    </xf>
    <xf numFmtId="169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9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9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9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167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93" fillId="33" borderId="68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9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21" fillId="33" borderId="72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165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9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3" fillId="0" borderId="0" xfId="1538"/>
    <xf numFmtId="167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167" fontId="0" fillId="0" borderId="3" xfId="1026" applyFont="1" applyFill="1" applyBorder="1" applyProtection="1"/>
    <xf numFmtId="167" fontId="113" fillId="0" borderId="3" xfId="1538" applyNumberFormat="1" applyBorder="1"/>
    <xf numFmtId="167" fontId="141" fillId="0" borderId="3" xfId="1026" applyFont="1" applyBorder="1" applyProtection="1"/>
    <xf numFmtId="167" fontId="0" fillId="0" borderId="3" xfId="1026" applyFont="1" applyBorder="1" applyProtection="1"/>
    <xf numFmtId="167" fontId="129" fillId="0" borderId="3" xfId="1538" applyNumberFormat="1" applyFont="1" applyBorder="1"/>
    <xf numFmtId="0" fontId="62" fillId="0" borderId="3" xfId="1538" applyFont="1" applyBorder="1"/>
    <xf numFmtId="165" fontId="113" fillId="0" borderId="3" xfId="1538" applyNumberFormat="1" applyBorder="1"/>
    <xf numFmtId="167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167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167" fontId="50" fillId="0" borderId="0" xfId="1538" applyNumberFormat="1" applyFont="1"/>
    <xf numFmtId="0" fontId="113" fillId="29" borderId="3" xfId="1538" applyFill="1" applyBorder="1"/>
    <xf numFmtId="169" fontId="113" fillId="29" borderId="3" xfId="1538" applyNumberFormat="1" applyFill="1" applyBorder="1" applyAlignment="1">
      <alignment horizontal="right"/>
    </xf>
    <xf numFmtId="43" fontId="113" fillId="0" borderId="0" xfId="1538" applyNumberFormat="1"/>
    <xf numFmtId="167" fontId="113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167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2" fillId="0" borderId="20" xfId="1615" applyFont="1" applyBorder="1" applyAlignment="1">
      <alignment horizontal="center" vertical="center"/>
    </xf>
    <xf numFmtId="0" fontId="152" fillId="0" borderId="21" xfId="1615" applyFont="1" applyBorder="1" applyAlignment="1">
      <alignment horizontal="left" vertical="center" wrapText="1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451" applyFont="1" applyBorder="1" applyAlignment="1">
      <alignment horizontal="left" vertical="center" wrapText="1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7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165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83" xfId="2670" applyFont="1" applyFill="1" applyBorder="1" applyAlignment="1">
      <alignment horizontal="left" vertical="center"/>
    </xf>
    <xf numFmtId="0" fontId="161" fillId="39" borderId="84" xfId="2670" applyFont="1" applyFill="1" applyBorder="1" applyAlignment="1">
      <alignment horizontal="center" vertical="center"/>
    </xf>
    <xf numFmtId="0" fontId="161" fillId="39" borderId="86" xfId="2670" applyFont="1" applyFill="1" applyBorder="1" applyAlignment="1">
      <alignment horizontal="left" vertical="center"/>
    </xf>
    <xf numFmtId="0" fontId="161" fillId="39" borderId="82" xfId="2670" applyFont="1" applyFill="1" applyBorder="1" applyAlignment="1">
      <alignment horizontal="center" vertical="center"/>
    </xf>
    <xf numFmtId="0" fontId="161" fillId="39" borderId="88" xfId="2670" applyFont="1" applyFill="1" applyBorder="1" applyAlignment="1">
      <alignment horizontal="left" vertical="center"/>
    </xf>
    <xf numFmtId="0" fontId="161" fillId="39" borderId="89" xfId="2670" applyFont="1" applyFill="1" applyBorder="1" applyAlignment="1">
      <alignment horizontal="center" vertical="center"/>
    </xf>
    <xf numFmtId="167" fontId="142" fillId="40" borderId="85" xfId="2672" applyFont="1" applyFill="1" applyBorder="1" applyAlignment="1" applyProtection="1">
      <alignment horizontal="right" vertical="center" wrapText="1"/>
      <protection locked="0"/>
    </xf>
    <xf numFmtId="167" fontId="142" fillId="40" borderId="87" xfId="2672" applyFont="1" applyFill="1" applyBorder="1" applyAlignment="1" applyProtection="1">
      <alignment horizontal="right" vertical="center"/>
      <protection locked="0"/>
    </xf>
    <xf numFmtId="169" fontId="142" fillId="40" borderId="87" xfId="2672" applyNumberFormat="1" applyFont="1" applyFill="1" applyBorder="1" applyAlignment="1" applyProtection="1">
      <alignment horizontal="right" vertical="center"/>
      <protection locked="0"/>
    </xf>
    <xf numFmtId="169" fontId="142" fillId="40" borderId="90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4" xfId="2673" applyFont="1" applyFill="1" applyBorder="1" applyAlignment="1">
      <alignment vertical="center" wrapText="1"/>
    </xf>
    <xf numFmtId="0" fontId="148" fillId="43" borderId="94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8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49" fontId="93" fillId="33" borderId="60" xfId="0" applyNumberFormat="1" applyFont="1" applyFill="1" applyBorder="1" applyAlignment="1">
      <alignment horizontal="left" vertical="center" wrapText="1"/>
    </xf>
    <xf numFmtId="49" fontId="93" fillId="33" borderId="61" xfId="0" applyNumberFormat="1" applyFont="1" applyFill="1" applyBorder="1" applyAlignment="1">
      <alignment horizontal="left" vertical="center"/>
    </xf>
    <xf numFmtId="41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7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9" fontId="146" fillId="47" borderId="0" xfId="2672" applyNumberFormat="1" applyFont="1" applyFill="1" applyBorder="1" applyAlignment="1" applyProtection="1">
      <alignment horizontal="right" vertical="center"/>
    </xf>
    <xf numFmtId="0" fontId="176" fillId="0" borderId="69" xfId="1450" applyFont="1" applyBorder="1" applyAlignment="1">
      <alignment horizontal="center" vertical="center"/>
    </xf>
    <xf numFmtId="0" fontId="176" fillId="0" borderId="99" xfId="1450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7" fillId="0" borderId="21" xfId="1652" applyFont="1" applyBorder="1" applyAlignment="1">
      <alignment horizontal="left" vertical="center" wrapText="1"/>
    </xf>
    <xf numFmtId="0" fontId="129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/>
    </xf>
    <xf numFmtId="0" fontId="11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115" fillId="0" borderId="21" xfId="1652" applyFont="1" applyBorder="1" applyAlignment="1">
      <alignment vertical="center"/>
    </xf>
    <xf numFmtId="0" fontId="45" fillId="0" borderId="21" xfId="1450" applyFont="1" applyBorder="1" applyAlignment="1">
      <alignment vertical="center" wrapText="1"/>
    </xf>
    <xf numFmtId="0" fontId="5" fillId="0" borderId="20" xfId="1652" applyFont="1" applyBorder="1" applyAlignment="1">
      <alignment horizontal="center" vertical="center"/>
    </xf>
    <xf numFmtId="0" fontId="129" fillId="48" borderId="21" xfId="1652" applyFont="1" applyFill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5" fillId="0" borderId="20" xfId="1652" applyFont="1" applyBorder="1" applyAlignment="1">
      <alignment horizontal="center" vertical="center"/>
    </xf>
    <xf numFmtId="0" fontId="45" fillId="0" borderId="21" xfId="1652" applyFont="1" applyBorder="1" applyAlignment="1">
      <alignment vertical="center"/>
    </xf>
    <xf numFmtId="0" fontId="4" fillId="0" borderId="21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left" vertical="center" wrapText="1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3" fillId="0" borderId="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169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165" fillId="42" borderId="91" xfId="2673" applyFont="1" applyFill="1" applyBorder="1" applyAlignment="1">
      <alignment horizontal="center" vertical="center" wrapText="1"/>
    </xf>
    <xf numFmtId="0" fontId="165" fillId="42" borderId="92" xfId="2673" applyFont="1" applyFill="1" applyBorder="1" applyAlignment="1">
      <alignment horizontal="center" vertical="center" wrapText="1"/>
    </xf>
    <xf numFmtId="0" fontId="165" fillId="42" borderId="93" xfId="2673" applyFont="1" applyFill="1" applyBorder="1" applyAlignment="1">
      <alignment horizontal="center" vertical="center" wrapText="1"/>
    </xf>
    <xf numFmtId="43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5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9" fillId="0" borderId="96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7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43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5" xfId="2673" applyNumberFormat="1" applyFont="1" applyFill="1" applyBorder="1" applyAlignment="1">
      <alignment horizontal="center" vertical="center" wrapText="1"/>
    </xf>
    <xf numFmtId="0" fontId="165" fillId="41" borderId="91" xfId="2673" applyFont="1" applyFill="1" applyBorder="1" applyAlignment="1">
      <alignment horizontal="center" vertical="center" wrapText="1"/>
    </xf>
    <xf numFmtId="0" fontId="165" fillId="41" borderId="92" xfId="2673" applyFont="1" applyFill="1" applyBorder="1" applyAlignment="1">
      <alignment horizontal="center" vertical="center" wrapText="1"/>
    </xf>
    <xf numFmtId="0" fontId="165" fillId="41" borderId="93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43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0" fontId="10" fillId="34" borderId="77" xfId="2670" applyFill="1" applyBorder="1" applyAlignment="1">
      <alignment horizontal="center" vertical="center"/>
    </xf>
    <xf numFmtId="0" fontId="140" fillId="0" borderId="78" xfId="2670" applyFont="1" applyBorder="1" applyAlignment="1">
      <alignment horizontal="left" vertical="center"/>
    </xf>
    <xf numFmtId="0" fontId="113" fillId="38" borderId="3" xfId="1538" applyFill="1" applyBorder="1" applyAlignment="1">
      <alignment horizontal="center" vertical="center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 wrapText="1"/>
    </xf>
    <xf numFmtId="0" fontId="53" fillId="0" borderId="44" xfId="1538" applyFont="1" applyBorder="1" applyAlignment="1">
      <alignment horizontal="left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7" fillId="35" borderId="3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0" fontId="116" fillId="33" borderId="64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center" vertical="center"/>
    </xf>
    <xf numFmtId="0" fontId="93" fillId="33" borderId="40" xfId="0" applyFont="1" applyFill="1" applyBorder="1" applyAlignment="1">
      <alignment horizontal="center" vertical="center"/>
    </xf>
    <xf numFmtId="0" fontId="121" fillId="33" borderId="75" xfId="0" applyFont="1" applyFill="1" applyBorder="1" applyAlignment="1">
      <alignment horizontal="center" vertical="center" wrapText="1"/>
    </xf>
    <xf numFmtId="0" fontId="121" fillId="33" borderId="76" xfId="0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93" fillId="33" borderId="80" xfId="0" applyFont="1" applyFill="1" applyBorder="1" applyAlignment="1">
      <alignment horizontal="center" vertical="center"/>
    </xf>
    <xf numFmtId="0" fontId="93" fillId="33" borderId="81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120" fillId="33" borderId="73" xfId="0" applyFont="1" applyFill="1" applyBorder="1" applyAlignment="1">
      <alignment horizontal="center" vertical="center"/>
    </xf>
    <xf numFmtId="0" fontId="120" fillId="33" borderId="74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49" fontId="116" fillId="33" borderId="50" xfId="0" applyNumberFormat="1" applyFont="1" applyFill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0" fontId="93" fillId="33" borderId="79" xfId="0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208" fontId="176" fillId="0" borderId="73" xfId="1450" applyNumberFormat="1" applyFont="1" applyBorder="1" applyAlignment="1">
      <alignment horizontal="left" vertical="center"/>
    </xf>
    <xf numFmtId="208" fontId="176" fillId="0" borderId="74" xfId="1450" applyNumberFormat="1" applyFont="1" applyBorder="1" applyAlignment="1">
      <alignment horizontal="left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7.8000000000000028E-2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0.3203139293464044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3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3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B8C8E68-4E1C-451B-9088-EF81CFB4F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87" y="192698"/>
          <a:ext cx="827374" cy="812260"/>
        </a:xfrm>
        <a:prstGeom prst="rect">
          <a:avLst/>
        </a:prstGeom>
      </xdr:spPr>
    </xdr:pic>
    <xdr:clientData/>
  </xdr:twoCellAnchor>
  <xdr:twoCellAnchor>
    <xdr:from>
      <xdr:col>26</xdr:col>
      <xdr:colOff>93498</xdr:colOff>
      <xdr:row>5</xdr:row>
      <xdr:rowOff>31607</xdr:rowOff>
    </xdr:from>
    <xdr:to>
      <xdr:col>29</xdr:col>
      <xdr:colOff>378135</xdr:colOff>
      <xdr:row>17</xdr:row>
      <xdr:rowOff>4634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5FF559FE-3B3D-4610-A5A3-0E9CD31F922E}"/>
            </a:ext>
          </a:extLst>
        </xdr:cNvPr>
        <xdr:cNvGrpSpPr/>
      </xdr:nvGrpSpPr>
      <xdr:grpSpPr>
        <a:xfrm>
          <a:off x="9593650" y="810172"/>
          <a:ext cx="1485615" cy="1778636"/>
          <a:chOff x="9713886" y="808452"/>
          <a:chExt cx="1342558" cy="1766630"/>
        </a:xfrm>
      </xdr:grpSpPr>
      <xdr:grpSp>
        <xdr:nvGrpSpPr>
          <xdr:cNvPr id="114" name="Group 13">
            <a:extLst>
              <a:ext uri="{FF2B5EF4-FFF2-40B4-BE49-F238E27FC236}">
                <a16:creationId xmlns:a16="http://schemas.microsoft.com/office/drawing/2014/main" id="{1392328E-D318-4532-8ADC-433EF7A9262F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73" name="Oval 1">
              <a:extLst>
                <a:ext uri="{FF2B5EF4-FFF2-40B4-BE49-F238E27FC236}">
                  <a16:creationId xmlns:a16="http://schemas.microsoft.com/office/drawing/2014/main" id="{269859A5-6170-4CB2-9871-7B3C9107A9D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4" name="Straight Connector 3">
              <a:extLst>
                <a:ext uri="{FF2B5EF4-FFF2-40B4-BE49-F238E27FC236}">
                  <a16:creationId xmlns:a16="http://schemas.microsoft.com/office/drawing/2014/main" id="{247FF49D-1040-448A-ACC9-DD32A8C6CA54}"/>
                </a:ext>
              </a:extLst>
            </xdr:cNvPr>
            <xdr:cNvCxnSpPr>
              <a:stCxn id="130" idx="1"/>
              <a:endCxn id="13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5" name="Straight Connector 7">
              <a:extLst>
                <a:ext uri="{FF2B5EF4-FFF2-40B4-BE49-F238E27FC236}">
                  <a16:creationId xmlns:a16="http://schemas.microsoft.com/office/drawing/2014/main" id="{4BBBAC34-1568-47B8-8DAD-3C47DAEC150C}"/>
                </a:ext>
              </a:extLst>
            </xdr:cNvPr>
            <xdr:cNvCxnSpPr>
              <a:stCxn id="130" idx="3"/>
              <a:endCxn id="13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B158E6CE-7D6E-475C-A8A3-CB8AD5EF5174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6" name="Group 115">
            <a:extLst>
              <a:ext uri="{FF2B5EF4-FFF2-40B4-BE49-F238E27FC236}">
                <a16:creationId xmlns:a16="http://schemas.microsoft.com/office/drawing/2014/main" id="{A84884A8-2261-49E7-A1F9-3BDB539181E5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70" name="Oval 169">
              <a:extLst>
                <a:ext uri="{FF2B5EF4-FFF2-40B4-BE49-F238E27FC236}">
                  <a16:creationId xmlns:a16="http://schemas.microsoft.com/office/drawing/2014/main" id="{0A78F262-AF33-4609-A17B-1645843ED53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366BDAE4-ADC6-4D13-BE9E-17813018AB6C}"/>
                </a:ext>
              </a:extLst>
            </xdr:cNvPr>
            <xdr:cNvCxnSpPr>
              <a:stCxn id="170" idx="1"/>
              <a:endCxn id="17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2" name="Straight Connector 171">
              <a:extLst>
                <a:ext uri="{FF2B5EF4-FFF2-40B4-BE49-F238E27FC236}">
                  <a16:creationId xmlns:a16="http://schemas.microsoft.com/office/drawing/2014/main" id="{DF1A2C17-CF99-4CD1-B551-0CB6D9A1BF97}"/>
                </a:ext>
              </a:extLst>
            </xdr:cNvPr>
            <xdr:cNvCxnSpPr>
              <a:stCxn id="170" idx="3"/>
              <a:endCxn id="17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7" name="Oval 116">
            <a:extLst>
              <a:ext uri="{FF2B5EF4-FFF2-40B4-BE49-F238E27FC236}">
                <a16:creationId xmlns:a16="http://schemas.microsoft.com/office/drawing/2014/main" id="{9005D581-0DA5-4BF0-BC90-4313B674FA3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A3AAC857-67F5-4F72-A95D-F426DEFE24B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99116364-31E1-47A9-8007-33087B507E9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A764E3E9-AED5-4516-9F99-2149BDE48E1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8BF9FEB3-0543-43CA-B015-23C21558A38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D6923920-B644-4A6B-9D9F-77879313993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CF214C96-8BA6-44A7-8382-12C474E303F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C0992ED2-4DCA-4503-B31C-14A990E33A3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5CCBC0A3-78A7-46D9-BC7F-95A7C71AF88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C8C63844-A0A6-47FE-A060-9A4A29098BF5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973C8FDD-A47C-42AF-BC2A-AB24C1C7742B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68D86C06-4AE3-4FC4-A39E-45DC433A1ED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A7878A09-21E7-455F-A3C4-61689FA4673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50">
            <a:extLst>
              <a:ext uri="{FF2B5EF4-FFF2-40B4-BE49-F238E27FC236}">
                <a16:creationId xmlns:a16="http://schemas.microsoft.com/office/drawing/2014/main" id="{760AEF30-F7BC-48FE-9C3B-95D00212EC9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5C7319C9-365B-4DD3-9D82-AF8069DCCE3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52">
            <a:extLst>
              <a:ext uri="{FF2B5EF4-FFF2-40B4-BE49-F238E27FC236}">
                <a16:creationId xmlns:a16="http://schemas.microsoft.com/office/drawing/2014/main" id="{36B651F3-9247-4184-8DCF-6C7AAA0EC193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083F9C7D-E257-432D-9D78-0072AE17CC1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4EB9E04B-3114-40D1-86A1-827EA8166C4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BF73412-5848-4F7C-9B4F-B6A44CC0CDA4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A3AA218A-F535-4906-B9E5-8A3E41A47C53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6FA7DF33-277A-4D4B-A4F7-97E5911C47A2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C25A1855-F0F8-4780-A139-84C57532FFD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8EF6B3E0-33A6-42AB-9BEC-D87C6BFD53C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0" name="Isosceles Triangle 139">
            <a:extLst>
              <a:ext uri="{FF2B5EF4-FFF2-40B4-BE49-F238E27FC236}">
                <a16:creationId xmlns:a16="http://schemas.microsoft.com/office/drawing/2014/main" id="{ED624AF2-8B1D-4B8A-AD03-E3C72C81E82E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" name="Isosceles Triangle 140">
            <a:extLst>
              <a:ext uri="{FF2B5EF4-FFF2-40B4-BE49-F238E27FC236}">
                <a16:creationId xmlns:a16="http://schemas.microsoft.com/office/drawing/2014/main" id="{C0954A0D-BF14-4774-903E-2766D7A6D8F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2" name="Group 73">
            <a:extLst>
              <a:ext uri="{FF2B5EF4-FFF2-40B4-BE49-F238E27FC236}">
                <a16:creationId xmlns:a16="http://schemas.microsoft.com/office/drawing/2014/main" id="{ECEF9B85-1182-4529-BCC1-3CD78C37A224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68" name="TextBox 167">
              <a:extLst>
                <a:ext uri="{FF2B5EF4-FFF2-40B4-BE49-F238E27FC236}">
                  <a16:creationId xmlns:a16="http://schemas.microsoft.com/office/drawing/2014/main" id="{5392FA46-72A2-4BEA-B9FF-814FF42F434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69" name="Straight Connector 168">
              <a:extLst>
                <a:ext uri="{FF2B5EF4-FFF2-40B4-BE49-F238E27FC236}">
                  <a16:creationId xmlns:a16="http://schemas.microsoft.com/office/drawing/2014/main" id="{48E21424-2F35-4E2A-90BB-B8B4F22ED4B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" name="Group 74">
            <a:extLst>
              <a:ext uri="{FF2B5EF4-FFF2-40B4-BE49-F238E27FC236}">
                <a16:creationId xmlns:a16="http://schemas.microsoft.com/office/drawing/2014/main" id="{3D89EDD0-0AF6-4928-9922-8D625732C3E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66" name="TextBox 165">
              <a:extLst>
                <a:ext uri="{FF2B5EF4-FFF2-40B4-BE49-F238E27FC236}">
                  <a16:creationId xmlns:a16="http://schemas.microsoft.com/office/drawing/2014/main" id="{F26CBC04-F2A6-49C7-AAC2-2C201820CD0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67" name="Straight Connector 166">
              <a:extLst>
                <a:ext uri="{FF2B5EF4-FFF2-40B4-BE49-F238E27FC236}">
                  <a16:creationId xmlns:a16="http://schemas.microsoft.com/office/drawing/2014/main" id="{F885CE72-59C7-4122-B5F9-FAFD4975257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4" name="Group 89">
            <a:extLst>
              <a:ext uri="{FF2B5EF4-FFF2-40B4-BE49-F238E27FC236}">
                <a16:creationId xmlns:a16="http://schemas.microsoft.com/office/drawing/2014/main" id="{E38AAC79-9736-4405-8181-8C704ACF364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2" name="Straight Connector 161">
              <a:extLst>
                <a:ext uri="{FF2B5EF4-FFF2-40B4-BE49-F238E27FC236}">
                  <a16:creationId xmlns:a16="http://schemas.microsoft.com/office/drawing/2014/main" id="{678DC464-D584-4FD0-B9F1-449D95EADF6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9">
              <a:extLst>
                <a:ext uri="{FF2B5EF4-FFF2-40B4-BE49-F238E27FC236}">
                  <a16:creationId xmlns:a16="http://schemas.microsoft.com/office/drawing/2014/main" id="{EAA75029-01B0-4C59-AEC4-ABC347B1126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80">
              <a:extLst>
                <a:ext uri="{FF2B5EF4-FFF2-40B4-BE49-F238E27FC236}">
                  <a16:creationId xmlns:a16="http://schemas.microsoft.com/office/drawing/2014/main" id="{1A0C0B8F-B7B2-430B-82D5-2899A347CB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Straight Connector 88">
              <a:extLst>
                <a:ext uri="{FF2B5EF4-FFF2-40B4-BE49-F238E27FC236}">
                  <a16:creationId xmlns:a16="http://schemas.microsoft.com/office/drawing/2014/main" id="{A54E7F36-574B-442E-8EE3-32820BEF9CA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5" name="Group 90">
            <a:extLst>
              <a:ext uri="{FF2B5EF4-FFF2-40B4-BE49-F238E27FC236}">
                <a16:creationId xmlns:a16="http://schemas.microsoft.com/office/drawing/2014/main" id="{C6954AD4-E21C-437C-A664-B4E6DD4AE39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8" name="Straight Connector 157">
              <a:extLst>
                <a:ext uri="{FF2B5EF4-FFF2-40B4-BE49-F238E27FC236}">
                  <a16:creationId xmlns:a16="http://schemas.microsoft.com/office/drawing/2014/main" id="{CC85C210-94CA-46BD-8F05-3089EE162BE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15BA98C1-E28B-4F3F-9D09-1739B9EC388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F08D1A48-9F90-4865-BC46-D63E24A931A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Straight Connector 160">
              <a:extLst>
                <a:ext uri="{FF2B5EF4-FFF2-40B4-BE49-F238E27FC236}">
                  <a16:creationId xmlns:a16="http://schemas.microsoft.com/office/drawing/2014/main" id="{901CED83-7B6E-40F3-B216-D244C8BC32B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5DF06E-962C-45C8-A2F1-B3727829BAA5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56F9C520-8256-488B-9E0A-794A0100C17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3EEBEA39-A573-4DC1-A500-6898E2865958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BC42C95F-41BB-4EF2-98B7-F04E401197AC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0" name="Group 155">
            <a:extLst>
              <a:ext uri="{FF2B5EF4-FFF2-40B4-BE49-F238E27FC236}">
                <a16:creationId xmlns:a16="http://schemas.microsoft.com/office/drawing/2014/main" id="{9EBE2CD0-BAB4-4E3F-BFF3-073F4FF5D05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55" name="Isosceles Triangle 154">
              <a:extLst>
                <a:ext uri="{FF2B5EF4-FFF2-40B4-BE49-F238E27FC236}">
                  <a16:creationId xmlns:a16="http://schemas.microsoft.com/office/drawing/2014/main" id="{2935D8E0-9E4A-4200-94AB-02EC84BE3D1E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6FAEB21E-D744-4DA5-B7BE-5860994C996E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3F72246E-1384-44BD-AC7F-7DF6E50A2FB6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1" name="Group 134">
            <a:extLst>
              <a:ext uri="{FF2B5EF4-FFF2-40B4-BE49-F238E27FC236}">
                <a16:creationId xmlns:a16="http://schemas.microsoft.com/office/drawing/2014/main" id="{DF280F17-7D47-4921-B209-EB41FDBD2F89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2" name="Isosceles Triangle 151">
              <a:extLst>
                <a:ext uri="{FF2B5EF4-FFF2-40B4-BE49-F238E27FC236}">
                  <a16:creationId xmlns:a16="http://schemas.microsoft.com/office/drawing/2014/main" id="{79405B2A-C30D-42D6-976B-26C3E834A44A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3" name="Isosceles Triangle 152">
              <a:extLst>
                <a:ext uri="{FF2B5EF4-FFF2-40B4-BE49-F238E27FC236}">
                  <a16:creationId xmlns:a16="http://schemas.microsoft.com/office/drawing/2014/main" id="{289464FB-DD80-4E56-B222-6D1105CAB30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4" name="Isosceles Triangle 153">
              <a:extLst>
                <a:ext uri="{FF2B5EF4-FFF2-40B4-BE49-F238E27FC236}">
                  <a16:creationId xmlns:a16="http://schemas.microsoft.com/office/drawing/2014/main" id="{E89B48DE-A4DC-4B12-A573-24A30FDAC707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10</xdr:col>
      <xdr:colOff>260397</xdr:colOff>
      <xdr:row>21</xdr:row>
      <xdr:rowOff>88900</xdr:rowOff>
    </xdr:from>
    <xdr:to>
      <xdr:col>12</xdr:col>
      <xdr:colOff>87629</xdr:colOff>
      <xdr:row>23</xdr:row>
      <xdr:rowOff>69194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FC151A37-669D-434B-562E-63BBEA8B97B4}"/>
            </a:ext>
          </a:extLst>
        </xdr:cNvPr>
        <xdr:cNvSpPr txBox="1"/>
      </xdr:nvSpPr>
      <xdr:spPr>
        <a:xfrm>
          <a:off x="3613197" y="3317875"/>
          <a:ext cx="589232" cy="285094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u="none" baseline="0">
              <a:solidFill>
                <a:sysClr val="windowText" lastClr="000000"/>
              </a:solidFill>
            </a:rPr>
            <a:t>1 CJ7T</a:t>
          </a:r>
        </a:p>
      </xdr:txBody>
    </xdr:sp>
    <xdr:clientData/>
  </xdr:twoCellAnchor>
  <xdr:twoCellAnchor>
    <xdr:from>
      <xdr:col>3</xdr:col>
      <xdr:colOff>180975</xdr:colOff>
      <xdr:row>43</xdr:row>
      <xdr:rowOff>47624</xdr:rowOff>
    </xdr:from>
    <xdr:to>
      <xdr:col>18</xdr:col>
      <xdr:colOff>364995</xdr:colOff>
      <xdr:row>44</xdr:row>
      <xdr:rowOff>113115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5AC698F5-3634-FC17-EFF9-F0273499335C}"/>
            </a:ext>
          </a:extLst>
        </xdr:cNvPr>
        <xdr:cNvSpPr/>
      </xdr:nvSpPr>
      <xdr:spPr>
        <a:xfrm>
          <a:off x="866775" y="6638924"/>
          <a:ext cx="5899020" cy="217891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12</xdr:col>
      <xdr:colOff>360151</xdr:colOff>
      <xdr:row>31</xdr:row>
      <xdr:rowOff>127224</xdr:rowOff>
    </xdr:from>
    <xdr:to>
      <xdr:col>13</xdr:col>
      <xdr:colOff>163338</xdr:colOff>
      <xdr:row>44</xdr:row>
      <xdr:rowOff>68817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3A329C85-6A66-2C6C-80A4-B46D97846ACD}"/>
            </a:ext>
          </a:extLst>
        </xdr:cNvPr>
        <xdr:cNvSpPr/>
      </xdr:nvSpPr>
      <xdr:spPr>
        <a:xfrm rot="5400000">
          <a:off x="3607380" y="5833495"/>
          <a:ext cx="1967820" cy="184187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3</xdr:col>
      <xdr:colOff>294409</xdr:colOff>
      <xdr:row>25</xdr:row>
      <xdr:rowOff>36905</xdr:rowOff>
    </xdr:from>
    <xdr:to>
      <xdr:col>9</xdr:col>
      <xdr:colOff>328853</xdr:colOff>
      <xdr:row>26</xdr:row>
      <xdr:rowOff>72299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C665DDA3-6145-31A2-9F0E-40794A7DDFA9}"/>
            </a:ext>
          </a:extLst>
        </xdr:cNvPr>
        <xdr:cNvSpPr/>
      </xdr:nvSpPr>
      <xdr:spPr>
        <a:xfrm>
          <a:off x="1004454" y="3933496"/>
          <a:ext cx="2320444" cy="191258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9</xdr:col>
      <xdr:colOff>86957</xdr:colOff>
      <xdr:row>28</xdr:row>
      <xdr:rowOff>8557</xdr:rowOff>
    </xdr:from>
    <xdr:to>
      <xdr:col>13</xdr:col>
      <xdr:colOff>322561</xdr:colOff>
      <xdr:row>29</xdr:row>
      <xdr:rowOff>34175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98F8009A-345B-2249-B62D-94DF59A0507B}"/>
            </a:ext>
          </a:extLst>
        </xdr:cNvPr>
        <xdr:cNvSpPr/>
      </xdr:nvSpPr>
      <xdr:spPr>
        <a:xfrm rot="12950449">
          <a:off x="3083002" y="4372739"/>
          <a:ext cx="1759604" cy="181481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13</xdr:col>
      <xdr:colOff>40962</xdr:colOff>
      <xdr:row>31</xdr:row>
      <xdr:rowOff>13266</xdr:rowOff>
    </xdr:from>
    <xdr:to>
      <xdr:col>19</xdr:col>
      <xdr:colOff>330522</xdr:colOff>
      <xdr:row>32</xdr:row>
      <xdr:rowOff>56764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71AEC8E7-07F3-C558-820F-9DA3109CAEAB}"/>
            </a:ext>
          </a:extLst>
        </xdr:cNvPr>
        <xdr:cNvSpPr/>
      </xdr:nvSpPr>
      <xdr:spPr>
        <a:xfrm>
          <a:off x="4561007" y="4827721"/>
          <a:ext cx="2575560" cy="199361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9</xdr:col>
      <xdr:colOff>189373</xdr:colOff>
      <xdr:row>12</xdr:row>
      <xdr:rowOff>103909</xdr:rowOff>
    </xdr:from>
    <xdr:to>
      <xdr:col>9</xdr:col>
      <xdr:colOff>362957</xdr:colOff>
      <xdr:row>25</xdr:row>
      <xdr:rowOff>63543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361163C4-8272-7E4A-C49E-EAE2029288AD}"/>
            </a:ext>
          </a:extLst>
        </xdr:cNvPr>
        <xdr:cNvSpPr/>
      </xdr:nvSpPr>
      <xdr:spPr>
        <a:xfrm rot="5400000">
          <a:off x="2279279" y="2880412"/>
          <a:ext cx="1985861" cy="173584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15</xdr:col>
      <xdr:colOff>120126</xdr:colOff>
      <xdr:row>27</xdr:row>
      <xdr:rowOff>152312</xdr:rowOff>
    </xdr:from>
    <xdr:to>
      <xdr:col>15</xdr:col>
      <xdr:colOff>248984</xdr:colOff>
      <xdr:row>28</xdr:row>
      <xdr:rowOff>110743</xdr:rowOff>
    </xdr:to>
    <xdr:grpSp>
      <xdr:nvGrpSpPr>
        <xdr:cNvPr id="35" name="Group 682">
          <a:extLst>
            <a:ext uri="{FF2B5EF4-FFF2-40B4-BE49-F238E27FC236}">
              <a16:creationId xmlns:a16="http://schemas.microsoft.com/office/drawing/2014/main" id="{31944973-2B41-77F3-68CE-B724916E7D5A}"/>
            </a:ext>
          </a:extLst>
        </xdr:cNvPr>
        <xdr:cNvGrpSpPr>
          <a:grpSpLocks/>
        </xdr:cNvGrpSpPr>
      </xdr:nvGrpSpPr>
      <xdr:grpSpPr bwMode="auto">
        <a:xfrm>
          <a:off x="5387865" y="4227355"/>
          <a:ext cx="128858" cy="107518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02" name="Oval 101">
            <a:extLst>
              <a:ext uri="{FF2B5EF4-FFF2-40B4-BE49-F238E27FC236}">
                <a16:creationId xmlns:a16="http://schemas.microsoft.com/office/drawing/2014/main" id="{C17C1C0F-5586-2C9E-0E22-AFADE0BC86BA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5ADAF2A4-9C13-B78C-EDD2-2D467075B945}"/>
              </a:ext>
            </a:extLst>
          </xdr:cNvPr>
          <xdr:cNvCxnSpPr>
            <a:stCxn id="102" idx="1"/>
            <a:endCxn id="102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28B88819-FD52-E593-6C5C-821456D111B3}"/>
              </a:ext>
            </a:extLst>
          </xdr:cNvPr>
          <xdr:cNvCxnSpPr>
            <a:stCxn id="102" idx="3"/>
            <a:endCxn id="102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215331</xdr:colOff>
      <xdr:row>42</xdr:row>
      <xdr:rowOff>75657</xdr:rowOff>
    </xdr:from>
    <xdr:to>
      <xdr:col>14</xdr:col>
      <xdr:colOff>4161</xdr:colOff>
      <xdr:row>42</xdr:row>
      <xdr:rowOff>91943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31552A9A-3EFC-49BC-07E9-FB47EEC2DE4A}"/>
            </a:ext>
          </a:extLst>
        </xdr:cNvPr>
        <xdr:cNvCxnSpPr>
          <a:stCxn id="96" idx="6"/>
          <a:endCxn id="99" idx="6"/>
        </xdr:cNvCxnSpPr>
      </xdr:nvCxnSpPr>
      <xdr:spPr>
        <a:xfrm flipV="1">
          <a:off x="3187131" y="6514557"/>
          <a:ext cx="1693830" cy="1628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258880</xdr:colOff>
      <xdr:row>42</xdr:row>
      <xdr:rowOff>19435</xdr:rowOff>
    </xdr:from>
    <xdr:to>
      <xdr:col>14</xdr:col>
      <xdr:colOff>4161</xdr:colOff>
      <xdr:row>42</xdr:row>
      <xdr:rowOff>131878</xdr:rowOff>
    </xdr:to>
    <xdr:grpSp>
      <xdr:nvGrpSpPr>
        <xdr:cNvPr id="37" name="Group 682">
          <a:extLst>
            <a:ext uri="{FF2B5EF4-FFF2-40B4-BE49-F238E27FC236}">
              <a16:creationId xmlns:a16="http://schemas.microsoft.com/office/drawing/2014/main" id="{4A8EB2A4-FD23-F31B-52E0-2F30AD77D49F}"/>
            </a:ext>
          </a:extLst>
        </xdr:cNvPr>
        <xdr:cNvGrpSpPr>
          <a:grpSpLocks/>
        </xdr:cNvGrpSpPr>
      </xdr:nvGrpSpPr>
      <xdr:grpSpPr bwMode="auto">
        <a:xfrm>
          <a:off x="4764619" y="6355631"/>
          <a:ext cx="126281" cy="112443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99" name="Oval 98">
            <a:extLst>
              <a:ext uri="{FF2B5EF4-FFF2-40B4-BE49-F238E27FC236}">
                <a16:creationId xmlns:a16="http://schemas.microsoft.com/office/drawing/2014/main" id="{40784C85-FCF4-1408-34BC-BA7777078432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1EC437B1-9B7E-C5DB-DAA9-1106C7982F70}"/>
              </a:ext>
            </a:extLst>
          </xdr:cNvPr>
          <xdr:cNvCxnSpPr>
            <a:stCxn id="99" idx="1"/>
            <a:endCxn id="9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0CEAE7D8-712A-D9E4-0C2B-CCF23A75C017}"/>
              </a:ext>
            </a:extLst>
          </xdr:cNvPr>
          <xdr:cNvCxnSpPr>
            <a:stCxn id="99" idx="3"/>
            <a:endCxn id="9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91469</xdr:colOff>
      <xdr:row>42</xdr:row>
      <xdr:rowOff>35721</xdr:rowOff>
    </xdr:from>
    <xdr:to>
      <xdr:col>9</xdr:col>
      <xdr:colOff>215331</xdr:colOff>
      <xdr:row>42</xdr:row>
      <xdr:rowOff>148164</xdr:rowOff>
    </xdr:to>
    <xdr:grpSp>
      <xdr:nvGrpSpPr>
        <xdr:cNvPr id="38" name="Group 682">
          <a:extLst>
            <a:ext uri="{FF2B5EF4-FFF2-40B4-BE49-F238E27FC236}">
              <a16:creationId xmlns:a16="http://schemas.microsoft.com/office/drawing/2014/main" id="{BC5CB759-F730-E691-7B07-DDF6F8629764}"/>
            </a:ext>
          </a:extLst>
        </xdr:cNvPr>
        <xdr:cNvGrpSpPr>
          <a:grpSpLocks/>
        </xdr:cNvGrpSpPr>
      </xdr:nvGrpSpPr>
      <xdr:grpSpPr bwMode="auto">
        <a:xfrm>
          <a:off x="3073208" y="6371917"/>
          <a:ext cx="123862" cy="112443"/>
          <a:chOff x="3494882" y="6020720"/>
          <a:chExt cx="153760" cy="144236"/>
        </a:xfrm>
        <a:noFill/>
      </xdr:grpSpPr>
      <xdr:sp macro="" textlink="">
        <xdr:nvSpPr>
          <xdr:cNvPr id="96" name="Oval 95">
            <a:extLst>
              <a:ext uri="{FF2B5EF4-FFF2-40B4-BE49-F238E27FC236}">
                <a16:creationId xmlns:a16="http://schemas.microsoft.com/office/drawing/2014/main" id="{7A7A008F-7EB5-8EF9-3FF7-4155BA3835A0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C6181118-2F2B-64B7-5395-EC8054CF7E6A}"/>
              </a:ext>
            </a:extLst>
          </xdr:cNvPr>
          <xdr:cNvCxnSpPr>
            <a:stCxn id="96" idx="1"/>
            <a:endCxn id="96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E260EC2E-BA62-FB7E-AA4C-E49E9DFB5C42}"/>
              </a:ext>
            </a:extLst>
          </xdr:cNvPr>
          <xdr:cNvCxnSpPr>
            <a:stCxn id="96" idx="3"/>
            <a:endCxn id="96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231760</xdr:colOff>
      <xdr:row>32</xdr:row>
      <xdr:rowOff>138983</xdr:rowOff>
    </xdr:from>
    <xdr:to>
      <xdr:col>13</xdr:col>
      <xdr:colOff>322021</xdr:colOff>
      <xdr:row>42</xdr:row>
      <xdr:rowOff>19435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A024F679-6C9A-E96A-9E9E-A037AF06ED5F}"/>
            </a:ext>
          </a:extLst>
        </xdr:cNvPr>
        <xdr:cNvCxnSpPr>
          <a:stCxn id="93" idx="5"/>
          <a:endCxn id="99" idx="0"/>
        </xdr:cNvCxnSpPr>
      </xdr:nvCxnSpPr>
      <xdr:spPr>
        <a:xfrm>
          <a:off x="4370805" y="5109301"/>
          <a:ext cx="471261" cy="143908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190962</xdr:colOff>
      <xdr:row>28</xdr:row>
      <xdr:rowOff>96709</xdr:rowOff>
    </xdr:from>
    <xdr:to>
      <xdr:col>12</xdr:col>
      <xdr:colOff>263961</xdr:colOff>
      <xdr:row>32</xdr:row>
      <xdr:rowOff>36138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4A7AB664-A61E-655B-CAE6-09FA791789AE}"/>
            </a:ext>
          </a:extLst>
        </xdr:cNvPr>
        <xdr:cNvCxnSpPr>
          <a:stCxn id="90" idx="4"/>
          <a:endCxn id="93" idx="0"/>
        </xdr:cNvCxnSpPr>
      </xdr:nvCxnSpPr>
      <xdr:spPr>
        <a:xfrm flipH="1">
          <a:off x="4330007" y="4460891"/>
          <a:ext cx="72999" cy="54556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327000</xdr:colOff>
      <xdr:row>28</xdr:row>
      <xdr:rowOff>36697</xdr:rowOff>
    </xdr:from>
    <xdr:to>
      <xdr:col>15</xdr:col>
      <xdr:colOff>120126</xdr:colOff>
      <xdr:row>28</xdr:row>
      <xdr:rowOff>53596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3FDA80C3-3B3F-E724-DD63-DA5DB1B31AEA}"/>
            </a:ext>
          </a:extLst>
        </xdr:cNvPr>
        <xdr:cNvCxnSpPr>
          <a:stCxn id="90" idx="6"/>
          <a:endCxn id="102" idx="2"/>
        </xdr:cNvCxnSpPr>
      </xdr:nvCxnSpPr>
      <xdr:spPr>
        <a:xfrm>
          <a:off x="4466045" y="4400879"/>
          <a:ext cx="936126" cy="1689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133264</xdr:colOff>
      <xdr:row>32</xdr:row>
      <xdr:rowOff>36138</xdr:rowOff>
    </xdr:from>
    <xdr:to>
      <xdr:col>12</xdr:col>
      <xdr:colOff>248659</xdr:colOff>
      <xdr:row>33</xdr:row>
      <xdr:rowOff>764</xdr:rowOff>
    </xdr:to>
    <xdr:grpSp>
      <xdr:nvGrpSpPr>
        <xdr:cNvPr id="44" name="Group 682">
          <a:extLst>
            <a:ext uri="{FF2B5EF4-FFF2-40B4-BE49-F238E27FC236}">
              <a16:creationId xmlns:a16="http://schemas.microsoft.com/office/drawing/2014/main" id="{66828987-BD84-8B30-206B-7318D8FFB987}"/>
            </a:ext>
          </a:extLst>
        </xdr:cNvPr>
        <xdr:cNvGrpSpPr>
          <a:grpSpLocks/>
        </xdr:cNvGrpSpPr>
      </xdr:nvGrpSpPr>
      <xdr:grpSpPr bwMode="auto">
        <a:xfrm>
          <a:off x="4258003" y="4848334"/>
          <a:ext cx="115395" cy="113713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93" name="Oval 92">
            <a:extLst>
              <a:ext uri="{FF2B5EF4-FFF2-40B4-BE49-F238E27FC236}">
                <a16:creationId xmlns:a16="http://schemas.microsoft.com/office/drawing/2014/main" id="{16642DF2-9054-175D-6AEC-DE1D139F4C66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63E5F796-385B-4146-304B-2E0BF7A8DC18}"/>
              </a:ext>
            </a:extLst>
          </xdr:cNvPr>
          <xdr:cNvCxnSpPr>
            <a:stCxn id="93" idx="1"/>
            <a:endCxn id="9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38B76ED9-12C4-0623-B5C9-A4D17EEC88DB}"/>
              </a:ext>
            </a:extLst>
          </xdr:cNvPr>
          <xdr:cNvCxnSpPr>
            <a:stCxn id="93" idx="3"/>
            <a:endCxn id="9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207648</xdr:colOff>
      <xdr:row>24</xdr:row>
      <xdr:rowOff>61570</xdr:rowOff>
    </xdr:from>
    <xdr:to>
      <xdr:col>12</xdr:col>
      <xdr:colOff>219386</xdr:colOff>
      <xdr:row>27</xdr:row>
      <xdr:rowOff>150125</xdr:rowOff>
    </xdr:to>
    <xdr:cxnSp macro="">
      <xdr:nvCxnSpPr>
        <xdr:cNvPr id="45" name="Straight Connector 44">
          <a:extLst>
            <a:ext uri="{FF2B5EF4-FFF2-40B4-BE49-F238E27FC236}">
              <a16:creationId xmlns:a16="http://schemas.microsoft.com/office/drawing/2014/main" id="{F77CA455-7CED-757B-840C-738F1BE74A26}"/>
            </a:ext>
          </a:extLst>
        </xdr:cNvPr>
        <xdr:cNvCxnSpPr>
          <a:stCxn id="67" idx="5"/>
          <a:endCxn id="90" idx="1"/>
        </xdr:cNvCxnSpPr>
      </xdr:nvCxnSpPr>
      <xdr:spPr>
        <a:xfrm>
          <a:off x="3584693" y="3802297"/>
          <a:ext cx="773738" cy="556146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200922</xdr:colOff>
      <xdr:row>27</xdr:row>
      <xdr:rowOff>132548</xdr:rowOff>
    </xdr:from>
    <xdr:to>
      <xdr:col>12</xdr:col>
      <xdr:colOff>327000</xdr:colOff>
      <xdr:row>28</xdr:row>
      <xdr:rowOff>96709</xdr:rowOff>
    </xdr:to>
    <xdr:grpSp>
      <xdr:nvGrpSpPr>
        <xdr:cNvPr id="46" name="Group 682">
          <a:extLst>
            <a:ext uri="{FF2B5EF4-FFF2-40B4-BE49-F238E27FC236}">
              <a16:creationId xmlns:a16="http://schemas.microsoft.com/office/drawing/2014/main" id="{EADBD571-52F0-92FF-CEBA-FFD9DAA1C2DF}"/>
            </a:ext>
          </a:extLst>
        </xdr:cNvPr>
        <xdr:cNvGrpSpPr>
          <a:grpSpLocks/>
        </xdr:cNvGrpSpPr>
      </xdr:nvGrpSpPr>
      <xdr:grpSpPr bwMode="auto">
        <a:xfrm>
          <a:off x="4325661" y="4207591"/>
          <a:ext cx="126078" cy="113248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90" name="Oval 89">
            <a:extLst>
              <a:ext uri="{FF2B5EF4-FFF2-40B4-BE49-F238E27FC236}">
                <a16:creationId xmlns:a16="http://schemas.microsoft.com/office/drawing/2014/main" id="{6FD01B9A-0270-3D0A-A6BA-04EB09221A19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BFEFB94A-3802-4144-0424-F196482D1D4D}"/>
              </a:ext>
            </a:extLst>
          </xdr:cNvPr>
          <xdr:cNvCxnSpPr>
            <a:stCxn id="90" idx="1"/>
            <a:endCxn id="9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2" name="Straight Connector 91">
            <a:extLst>
              <a:ext uri="{FF2B5EF4-FFF2-40B4-BE49-F238E27FC236}">
                <a16:creationId xmlns:a16="http://schemas.microsoft.com/office/drawing/2014/main" id="{5EC9E3D4-177F-3DB4-D4D4-AD21F031704F}"/>
              </a:ext>
            </a:extLst>
          </xdr:cNvPr>
          <xdr:cNvCxnSpPr>
            <a:stCxn id="90" idx="3"/>
            <a:endCxn id="9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56567</xdr:colOff>
      <xdr:row>42</xdr:row>
      <xdr:rowOff>40363</xdr:rowOff>
    </xdr:from>
    <xdr:to>
      <xdr:col>11</xdr:col>
      <xdr:colOff>247067</xdr:colOff>
      <xdr:row>42</xdr:row>
      <xdr:rowOff>132892</xdr:rowOff>
    </xdr:to>
    <xdr:grpSp>
      <xdr:nvGrpSpPr>
        <xdr:cNvPr id="47" name="Group 28">
          <a:extLst>
            <a:ext uri="{FF2B5EF4-FFF2-40B4-BE49-F238E27FC236}">
              <a16:creationId xmlns:a16="http://schemas.microsoft.com/office/drawing/2014/main" id="{EC22D6F1-F845-9E1B-4FFF-408C6EEF46B6}"/>
            </a:ext>
          </a:extLst>
        </xdr:cNvPr>
        <xdr:cNvGrpSpPr>
          <a:grpSpLocks/>
        </xdr:cNvGrpSpPr>
      </xdr:nvGrpSpPr>
      <xdr:grpSpPr bwMode="auto">
        <a:xfrm>
          <a:off x="3800306" y="6376559"/>
          <a:ext cx="190500" cy="92529"/>
          <a:chOff x="12267508" y="2212225"/>
          <a:chExt cx="192931" cy="101137"/>
        </a:xfrm>
      </xdr:grpSpPr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60D145E1-460C-8765-FE30-2B81F43E9882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Straight Connector 86">
            <a:extLst>
              <a:ext uri="{FF2B5EF4-FFF2-40B4-BE49-F238E27FC236}">
                <a16:creationId xmlns:a16="http://schemas.microsoft.com/office/drawing/2014/main" id="{1F107B93-25A0-E875-4055-9659594C9F2E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8" name="Straight Connector 87">
            <a:extLst>
              <a:ext uri="{FF2B5EF4-FFF2-40B4-BE49-F238E27FC236}">
                <a16:creationId xmlns:a16="http://schemas.microsoft.com/office/drawing/2014/main" id="{C66F0321-91A4-D939-9D96-450F986FC8B1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9" name="Straight Connector 88">
            <a:extLst>
              <a:ext uri="{FF2B5EF4-FFF2-40B4-BE49-F238E27FC236}">
                <a16:creationId xmlns:a16="http://schemas.microsoft.com/office/drawing/2014/main" id="{9421A89A-4BF0-EA86-B07C-7E4F4652494D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284006</xdr:colOff>
      <xdr:row>28</xdr:row>
      <xdr:rowOff>25459</xdr:rowOff>
    </xdr:from>
    <xdr:to>
      <xdr:col>14</xdr:col>
      <xdr:colOff>93506</xdr:colOff>
      <xdr:row>28</xdr:row>
      <xdr:rowOff>114523</xdr:rowOff>
    </xdr:to>
    <xdr:grpSp>
      <xdr:nvGrpSpPr>
        <xdr:cNvPr id="48" name="Group 28">
          <a:extLst>
            <a:ext uri="{FF2B5EF4-FFF2-40B4-BE49-F238E27FC236}">
              <a16:creationId xmlns:a16="http://schemas.microsoft.com/office/drawing/2014/main" id="{6FAFDAF7-45DB-8292-A411-4F6C65A766DF}"/>
            </a:ext>
          </a:extLst>
        </xdr:cNvPr>
        <xdr:cNvGrpSpPr>
          <a:grpSpLocks/>
        </xdr:cNvGrpSpPr>
      </xdr:nvGrpSpPr>
      <xdr:grpSpPr bwMode="auto">
        <a:xfrm rot="21443235">
          <a:off x="4789745" y="4249589"/>
          <a:ext cx="190500" cy="89064"/>
          <a:chOff x="12267508" y="2212225"/>
          <a:chExt cx="192931" cy="101137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51D5C112-D19B-3C47-6C1B-AD66D743BC6D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4779549D-C6DC-58DF-9FCA-CADDD53CB449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5DF6C7A8-BDE6-E318-3B5A-CE826E90EDFB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D3164A03-14F3-8444-E502-E4AEDAF7ED2F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352091</xdr:colOff>
      <xdr:row>35</xdr:row>
      <xdr:rowOff>98131</xdr:rowOff>
    </xdr:from>
    <xdr:to>
      <xdr:col>13</xdr:col>
      <xdr:colOff>66341</xdr:colOff>
      <xdr:row>36</xdr:row>
      <xdr:rowOff>130046</xdr:rowOff>
    </xdr:to>
    <xdr:grpSp>
      <xdr:nvGrpSpPr>
        <xdr:cNvPr id="49" name="Group 28">
          <a:extLst>
            <a:ext uri="{FF2B5EF4-FFF2-40B4-BE49-F238E27FC236}">
              <a16:creationId xmlns:a16="http://schemas.microsoft.com/office/drawing/2014/main" id="{B51107FE-63A5-0310-59A4-07601CE73ADA}"/>
            </a:ext>
          </a:extLst>
        </xdr:cNvPr>
        <xdr:cNvGrpSpPr>
          <a:grpSpLocks/>
        </xdr:cNvGrpSpPr>
      </xdr:nvGrpSpPr>
      <xdr:grpSpPr bwMode="auto">
        <a:xfrm rot="3664329">
          <a:off x="4433954" y="5400464"/>
          <a:ext cx="181001" cy="95250"/>
          <a:chOff x="12267508" y="2212225"/>
          <a:chExt cx="192931" cy="10113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97B38B2-9DB7-7EC6-7868-3E547824316A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29D02E41-1DEC-CB51-BC4E-044EB2458834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CE0B4D97-3A90-A6BF-36F2-A104AFDA5226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7F79C19A-4A57-E7D0-1BC3-CDB2D3EA78FE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175675</xdr:colOff>
      <xdr:row>29</xdr:row>
      <xdr:rowOff>82772</xdr:rowOff>
    </xdr:from>
    <xdr:to>
      <xdr:col>12</xdr:col>
      <xdr:colOff>270925</xdr:colOff>
      <xdr:row>30</xdr:row>
      <xdr:rowOff>137416</xdr:rowOff>
    </xdr:to>
    <xdr:grpSp>
      <xdr:nvGrpSpPr>
        <xdr:cNvPr id="50" name="Group 28">
          <a:extLst>
            <a:ext uri="{FF2B5EF4-FFF2-40B4-BE49-F238E27FC236}">
              <a16:creationId xmlns:a16="http://schemas.microsoft.com/office/drawing/2014/main" id="{DB664956-4C12-57F8-2CB1-7BE2206BCD15}"/>
            </a:ext>
          </a:extLst>
        </xdr:cNvPr>
        <xdr:cNvGrpSpPr>
          <a:grpSpLocks/>
        </xdr:cNvGrpSpPr>
      </xdr:nvGrpSpPr>
      <xdr:grpSpPr bwMode="auto">
        <a:xfrm rot="4944420">
          <a:off x="4250314" y="4506089"/>
          <a:ext cx="195449" cy="95250"/>
          <a:chOff x="12267508" y="2212225"/>
          <a:chExt cx="192931" cy="101137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A5C9A3B1-2A13-2A6A-BE49-5032195D46A4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A7DBA7A9-BBDD-8381-E300-046EC74EAB00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D3A001A4-92B7-460E-8FFE-9C22F1DDE151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4030411C-6189-77E6-660A-441F2C41A1ED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35153</xdr:colOff>
      <xdr:row>25</xdr:row>
      <xdr:rowOff>82537</xdr:rowOff>
    </xdr:from>
    <xdr:to>
      <xdr:col>11</xdr:col>
      <xdr:colOff>225919</xdr:colOff>
      <xdr:row>26</xdr:row>
      <xdr:rowOff>32943</xdr:rowOff>
    </xdr:to>
    <xdr:grpSp>
      <xdr:nvGrpSpPr>
        <xdr:cNvPr id="51" name="Group 33">
          <a:extLst>
            <a:ext uri="{FF2B5EF4-FFF2-40B4-BE49-F238E27FC236}">
              <a16:creationId xmlns:a16="http://schemas.microsoft.com/office/drawing/2014/main" id="{58FE1BCD-ABCC-C96A-9454-37C7A786678D}"/>
            </a:ext>
          </a:extLst>
        </xdr:cNvPr>
        <xdr:cNvGrpSpPr>
          <a:grpSpLocks/>
        </xdr:cNvGrpSpPr>
      </xdr:nvGrpSpPr>
      <xdr:grpSpPr bwMode="auto">
        <a:xfrm rot="2427307">
          <a:off x="3778892" y="3859407"/>
          <a:ext cx="190766" cy="99493"/>
          <a:chOff x="12267336" y="2379518"/>
          <a:chExt cx="192062" cy="99752"/>
        </a:xfrm>
      </xdr:grpSpPr>
      <xdr:cxnSp macro="">
        <xdr:nvCxnSpPr>
          <xdr:cNvPr id="70" name="Straight Connector 69">
            <a:extLst>
              <a:ext uri="{FF2B5EF4-FFF2-40B4-BE49-F238E27FC236}">
                <a16:creationId xmlns:a16="http://schemas.microsoft.com/office/drawing/2014/main" id="{DFA0F727-89FA-F8E7-BF2D-F42AB03347AE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1" name="Straight Connector 70">
            <a:extLst>
              <a:ext uri="{FF2B5EF4-FFF2-40B4-BE49-F238E27FC236}">
                <a16:creationId xmlns:a16="http://schemas.microsoft.com/office/drawing/2014/main" id="{84A77CB5-7C76-2862-E010-C01A0D7F6037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" name="Straight Connector 71">
            <a:extLst>
              <a:ext uri="{FF2B5EF4-FFF2-40B4-BE49-F238E27FC236}">
                <a16:creationId xmlns:a16="http://schemas.microsoft.com/office/drawing/2014/main" id="{FF0773F0-0ACE-3844-57A4-5D7C731D6EBC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" name="Straight Connector 72">
            <a:extLst>
              <a:ext uri="{FF2B5EF4-FFF2-40B4-BE49-F238E27FC236}">
                <a16:creationId xmlns:a16="http://schemas.microsoft.com/office/drawing/2014/main" id="{0F79AF11-DB1B-7351-B5EB-6527F4254C0D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17096</xdr:colOff>
      <xdr:row>45</xdr:row>
      <xdr:rowOff>37463</xdr:rowOff>
    </xdr:from>
    <xdr:to>
      <xdr:col>7</xdr:col>
      <xdr:colOff>1511</xdr:colOff>
      <xdr:row>50</xdr:row>
      <xdr:rowOff>5014</xdr:rowOff>
    </xdr:to>
    <xdr:sp macro="" textlink="">
      <xdr:nvSpPr>
        <xdr:cNvPr id="52" name="Rectangle: Rounded Corners 1">
          <a:extLst>
            <a:ext uri="{FF2B5EF4-FFF2-40B4-BE49-F238E27FC236}">
              <a16:creationId xmlns:a16="http://schemas.microsoft.com/office/drawing/2014/main" id="{A5D74ABC-B48F-5648-47AD-D1DAD868C391}"/>
            </a:ext>
          </a:extLst>
        </xdr:cNvPr>
        <xdr:cNvSpPr/>
      </xdr:nvSpPr>
      <xdr:spPr>
        <a:xfrm>
          <a:off x="1083896" y="6933563"/>
          <a:ext cx="1127415" cy="73907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100">
              <a:solidFill>
                <a:srgbClr val="00B050"/>
              </a:solidFill>
            </a:rPr>
            <a:t>KOS UCIT</a:t>
          </a:r>
          <a:r>
            <a:rPr lang="en-ID" sz="1100" baseline="0">
              <a:solidFill>
                <a:srgbClr val="00B050"/>
              </a:solidFill>
            </a:rPr>
            <a:t> LUSIATI</a:t>
          </a:r>
          <a:endParaRPr lang="en-ID" sz="1100">
            <a:solidFill>
              <a:srgbClr val="00B050"/>
            </a:solidFill>
          </a:endParaRPr>
        </a:p>
      </xdr:txBody>
    </xdr:sp>
    <xdr:clientData/>
  </xdr:twoCellAnchor>
  <xdr:twoCellAnchor>
    <xdr:from>
      <xdr:col>10</xdr:col>
      <xdr:colOff>163073</xdr:colOff>
      <xdr:row>12</xdr:row>
      <xdr:rowOff>142738</xdr:rowOff>
    </xdr:from>
    <xdr:to>
      <xdr:col>10</xdr:col>
      <xdr:colOff>176310</xdr:colOff>
      <xdr:row>23</xdr:row>
      <xdr:rowOff>114480</xdr:rowOff>
    </xdr:to>
    <xdr:cxnSp macro="">
      <xdr:nvCxnSpPr>
        <xdr:cNvPr id="53" name="Straight Connector 52">
          <a:extLst>
            <a:ext uri="{FF2B5EF4-FFF2-40B4-BE49-F238E27FC236}">
              <a16:creationId xmlns:a16="http://schemas.microsoft.com/office/drawing/2014/main" id="{14E81D30-28B2-2996-402E-F3858CBD55D8}"/>
            </a:ext>
          </a:extLst>
        </xdr:cNvPr>
        <xdr:cNvCxnSpPr>
          <a:endCxn id="67" idx="0"/>
        </xdr:cNvCxnSpPr>
      </xdr:nvCxnSpPr>
      <xdr:spPr>
        <a:xfrm flipH="1">
          <a:off x="3540118" y="2013102"/>
          <a:ext cx="13237" cy="168624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100034</xdr:colOff>
      <xdr:row>23</xdr:row>
      <xdr:rowOff>114480</xdr:rowOff>
    </xdr:from>
    <xdr:to>
      <xdr:col>10</xdr:col>
      <xdr:colOff>226112</xdr:colOff>
      <xdr:row>24</xdr:row>
      <xdr:rowOff>79234</xdr:rowOff>
    </xdr:to>
    <xdr:grpSp>
      <xdr:nvGrpSpPr>
        <xdr:cNvPr id="56" name="Group 682">
          <a:extLst>
            <a:ext uri="{FF2B5EF4-FFF2-40B4-BE49-F238E27FC236}">
              <a16:creationId xmlns:a16="http://schemas.microsoft.com/office/drawing/2014/main" id="{F86BCB43-631B-DD1C-2AF3-17C6C61A4504}"/>
            </a:ext>
          </a:extLst>
        </xdr:cNvPr>
        <xdr:cNvGrpSpPr>
          <a:grpSpLocks/>
        </xdr:cNvGrpSpPr>
      </xdr:nvGrpSpPr>
      <xdr:grpSpPr bwMode="auto">
        <a:xfrm>
          <a:off x="3462773" y="3593176"/>
          <a:ext cx="126078" cy="113841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67" name="Oval 66">
            <a:extLst>
              <a:ext uri="{FF2B5EF4-FFF2-40B4-BE49-F238E27FC236}">
                <a16:creationId xmlns:a16="http://schemas.microsoft.com/office/drawing/2014/main" id="{6A103C3B-9361-7B5C-0D45-FFD0861C2FCE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0F446A92-502E-3961-3F26-6001B4E82DCE}"/>
              </a:ext>
            </a:extLst>
          </xdr:cNvPr>
          <xdr:cNvCxnSpPr>
            <a:stCxn id="67" idx="1"/>
            <a:endCxn id="6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Straight Connector 68">
            <a:extLst>
              <a:ext uri="{FF2B5EF4-FFF2-40B4-BE49-F238E27FC236}">
                <a16:creationId xmlns:a16="http://schemas.microsoft.com/office/drawing/2014/main" id="{9DB71D21-2B53-6359-63E4-94FAD47D7310}"/>
              </a:ext>
            </a:extLst>
          </xdr:cNvPr>
          <xdr:cNvCxnSpPr>
            <a:stCxn id="67" idx="3"/>
            <a:endCxn id="6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352425</xdr:colOff>
      <xdr:row>42</xdr:row>
      <xdr:rowOff>85725</xdr:rowOff>
    </xdr:from>
    <xdr:to>
      <xdr:col>9</xdr:col>
      <xdr:colOff>91469</xdr:colOff>
      <xdr:row>42</xdr:row>
      <xdr:rowOff>91943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4D085758-F595-DEC8-A7D5-AEB2D27CD42E}"/>
            </a:ext>
          </a:extLst>
        </xdr:cNvPr>
        <xdr:cNvCxnSpPr>
          <a:stCxn id="96" idx="2"/>
        </xdr:cNvCxnSpPr>
      </xdr:nvCxnSpPr>
      <xdr:spPr>
        <a:xfrm flipH="1" flipV="1">
          <a:off x="1419225" y="6524625"/>
          <a:ext cx="1644044" cy="6218"/>
        </a:xfrm>
        <a:prstGeom prst="straightConnector1">
          <a:avLst/>
        </a:prstGeom>
        <a:ln w="127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252510</xdr:colOff>
      <xdr:row>40</xdr:row>
      <xdr:rowOff>144355</xdr:rowOff>
    </xdr:from>
    <xdr:to>
      <xdr:col>12</xdr:col>
      <xdr:colOff>379510</xdr:colOff>
      <xdr:row>42</xdr:row>
      <xdr:rowOff>45805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E5918A2C-F3FF-BA6B-41AD-E702136B5363}"/>
            </a:ext>
          </a:extLst>
        </xdr:cNvPr>
        <xdr:cNvSpPr txBox="1"/>
      </xdr:nvSpPr>
      <xdr:spPr>
        <a:xfrm>
          <a:off x="3629555" y="6361582"/>
          <a:ext cx="889000" cy="2131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>
              <a:solidFill>
                <a:srgbClr val="FF0000"/>
              </a:solidFill>
            </a:rPr>
            <a:t>50 MTR</a:t>
          </a:r>
        </a:p>
      </xdr:txBody>
    </xdr:sp>
    <xdr:clientData/>
  </xdr:twoCellAnchor>
  <xdr:twoCellAnchor>
    <xdr:from>
      <xdr:col>13</xdr:col>
      <xdr:colOff>290610</xdr:colOff>
      <xdr:row>38</xdr:row>
      <xdr:rowOff>6139</xdr:rowOff>
    </xdr:from>
    <xdr:to>
      <xdr:col>15</xdr:col>
      <xdr:colOff>316010</xdr:colOff>
      <xdr:row>39</xdr:row>
      <xdr:rowOff>38960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780292F4-8800-B681-47F2-3DCA51540171}"/>
            </a:ext>
          </a:extLst>
        </xdr:cNvPr>
        <xdr:cNvSpPr txBox="1"/>
      </xdr:nvSpPr>
      <xdr:spPr>
        <a:xfrm>
          <a:off x="4810655" y="5911639"/>
          <a:ext cx="787400" cy="1886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>
              <a:solidFill>
                <a:srgbClr val="FF0000"/>
              </a:solidFill>
            </a:rPr>
            <a:t>35 MTR </a:t>
          </a:r>
        </a:p>
      </xdr:txBody>
    </xdr:sp>
    <xdr:clientData/>
  </xdr:twoCellAnchor>
  <xdr:twoCellAnchor>
    <xdr:from>
      <xdr:col>13</xdr:col>
      <xdr:colOff>36610</xdr:colOff>
      <xdr:row>29</xdr:row>
      <xdr:rowOff>81679</xdr:rowOff>
    </xdr:from>
    <xdr:to>
      <xdr:col>15</xdr:col>
      <xdr:colOff>62010</xdr:colOff>
      <xdr:row>30</xdr:row>
      <xdr:rowOff>140891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CA79C7CB-6BCB-33A1-7742-EAECB32E58F5}"/>
            </a:ext>
          </a:extLst>
        </xdr:cNvPr>
        <xdr:cNvSpPr txBox="1"/>
      </xdr:nvSpPr>
      <xdr:spPr>
        <a:xfrm>
          <a:off x="4556655" y="4601724"/>
          <a:ext cx="787400" cy="1977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100">
              <a:solidFill>
                <a:srgbClr val="FF0000"/>
              </a:solidFill>
            </a:rPr>
            <a:t>25 MTR </a:t>
          </a:r>
        </a:p>
      </xdr:txBody>
    </xdr:sp>
    <xdr:clientData/>
  </xdr:twoCellAnchor>
  <xdr:twoCellAnchor>
    <xdr:from>
      <xdr:col>7</xdr:col>
      <xdr:colOff>64147</xdr:colOff>
      <xdr:row>32</xdr:row>
      <xdr:rowOff>120579</xdr:rowOff>
    </xdr:from>
    <xdr:to>
      <xdr:col>10</xdr:col>
      <xdr:colOff>48562</xdr:colOff>
      <xdr:row>37</xdr:row>
      <xdr:rowOff>92495</xdr:rowOff>
    </xdr:to>
    <xdr:sp macro="" textlink="">
      <xdr:nvSpPr>
        <xdr:cNvPr id="61" name="Rectangle: Rounded Corners 60">
          <a:extLst>
            <a:ext uri="{FF2B5EF4-FFF2-40B4-BE49-F238E27FC236}">
              <a16:creationId xmlns:a16="http://schemas.microsoft.com/office/drawing/2014/main" id="{FC085C1B-E86B-B13D-E862-A93F987F9504}"/>
            </a:ext>
          </a:extLst>
        </xdr:cNvPr>
        <xdr:cNvSpPr/>
      </xdr:nvSpPr>
      <xdr:spPr>
        <a:xfrm>
          <a:off x="2298192" y="5090897"/>
          <a:ext cx="1127415" cy="751234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1100">
              <a:solidFill>
                <a:srgbClr val="00B050"/>
              </a:solidFill>
            </a:rPr>
            <a:t>ST.</a:t>
          </a:r>
          <a:r>
            <a:rPr lang="en-ID" sz="1100" baseline="0">
              <a:solidFill>
                <a:srgbClr val="00B050"/>
              </a:solidFill>
            </a:rPr>
            <a:t> DEMAK</a:t>
          </a:r>
          <a:endParaRPr lang="en-ID" sz="1100">
            <a:solidFill>
              <a:srgbClr val="00B050"/>
            </a:solidFill>
          </a:endParaRPr>
        </a:p>
      </xdr:txBody>
    </xdr:sp>
    <xdr:clientData/>
  </xdr:twoCellAnchor>
  <xdr:twoCellAnchor>
    <xdr:from>
      <xdr:col>12</xdr:col>
      <xdr:colOff>149382</xdr:colOff>
      <xdr:row>24</xdr:row>
      <xdr:rowOff>114301</xdr:rowOff>
    </xdr:from>
    <xdr:to>
      <xdr:col>13</xdr:col>
      <xdr:colOff>357614</xdr:colOff>
      <xdr:row>27</xdr:row>
      <xdr:rowOff>65147</xdr:rowOff>
    </xdr:to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id="{709120F1-6279-367A-C0F0-4DFFBEBF9E06}"/>
            </a:ext>
          </a:extLst>
        </xdr:cNvPr>
        <xdr:cNvSpPr txBox="1"/>
      </xdr:nvSpPr>
      <xdr:spPr>
        <a:xfrm>
          <a:off x="4264182" y="3800476"/>
          <a:ext cx="589232" cy="408046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u="none" baseline="0">
              <a:solidFill>
                <a:sysClr val="windowText" lastClr="000000"/>
              </a:solidFill>
            </a:rPr>
            <a:t>1 CJ7T</a:t>
          </a:r>
        </a:p>
        <a:p>
          <a:pPr algn="ctr"/>
          <a:r>
            <a:rPr lang="en-US" sz="800" b="0" u="none" baseline="0">
              <a:solidFill>
                <a:srgbClr val="FF0000"/>
              </a:solidFill>
            </a:rPr>
            <a:t>1 CJ6-T</a:t>
          </a:r>
        </a:p>
      </xdr:txBody>
    </xdr:sp>
    <xdr:clientData/>
  </xdr:twoCellAnchor>
  <xdr:twoCellAnchor>
    <xdr:from>
      <xdr:col>15</xdr:col>
      <xdr:colOff>175658</xdr:colOff>
      <xdr:row>25</xdr:row>
      <xdr:rowOff>97989</xdr:rowOff>
    </xdr:from>
    <xdr:to>
      <xdr:col>17</xdr:col>
      <xdr:colOff>2890</xdr:colOff>
      <xdr:row>27</xdr:row>
      <xdr:rowOff>78284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D2AF2FB4-80D6-8956-E73B-D78593442DBD}"/>
            </a:ext>
          </a:extLst>
        </xdr:cNvPr>
        <xdr:cNvSpPr txBox="1"/>
      </xdr:nvSpPr>
      <xdr:spPr>
        <a:xfrm>
          <a:off x="5457703" y="3994580"/>
          <a:ext cx="589232" cy="292022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u="none" baseline="0">
              <a:solidFill>
                <a:sysClr val="windowText" lastClr="000000"/>
              </a:solidFill>
            </a:rPr>
            <a:t>CJ5T</a:t>
          </a:r>
        </a:p>
      </xdr:txBody>
    </xdr:sp>
    <xdr:clientData/>
  </xdr:twoCellAnchor>
  <xdr:twoCellAnchor>
    <xdr:from>
      <xdr:col>10</xdr:col>
      <xdr:colOff>188468</xdr:colOff>
      <xdr:row>31</xdr:row>
      <xdr:rowOff>48965</xdr:rowOff>
    </xdr:from>
    <xdr:to>
      <xdr:col>12</xdr:col>
      <xdr:colOff>15700</xdr:colOff>
      <xdr:row>33</xdr:row>
      <xdr:rowOff>29260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17773807-934D-9983-7F82-26C6EDBA2387}"/>
            </a:ext>
          </a:extLst>
        </xdr:cNvPr>
        <xdr:cNvSpPr txBox="1"/>
      </xdr:nvSpPr>
      <xdr:spPr>
        <a:xfrm>
          <a:off x="3565513" y="4863420"/>
          <a:ext cx="589232" cy="29202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u="none" baseline="0">
              <a:solidFill>
                <a:srgbClr val="FF0000"/>
              </a:solidFill>
            </a:rPr>
            <a:t>1 CJ5T</a:t>
          </a:r>
        </a:p>
      </xdr:txBody>
    </xdr:sp>
    <xdr:clientData/>
  </xdr:twoCellAnchor>
  <xdr:twoCellAnchor>
    <xdr:from>
      <xdr:col>14</xdr:col>
      <xdr:colOff>63986</xdr:colOff>
      <xdr:row>40</xdr:row>
      <xdr:rowOff>146873</xdr:rowOff>
    </xdr:from>
    <xdr:to>
      <xdr:col>15</xdr:col>
      <xdr:colOff>272218</xdr:colOff>
      <xdr:row>42</xdr:row>
      <xdr:rowOff>127167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3EB46BF9-735A-FE0A-F7E0-4199FBC082FC}"/>
            </a:ext>
          </a:extLst>
        </xdr:cNvPr>
        <xdr:cNvSpPr txBox="1"/>
      </xdr:nvSpPr>
      <xdr:spPr>
        <a:xfrm>
          <a:off x="4965031" y="6364100"/>
          <a:ext cx="589232" cy="29202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u="none" baseline="0">
              <a:solidFill>
                <a:srgbClr val="FF0000"/>
              </a:solidFill>
            </a:rPr>
            <a:t>2 CJ6T</a:t>
          </a:r>
        </a:p>
      </xdr:txBody>
    </xdr:sp>
    <xdr:clientData/>
  </xdr:twoCellAnchor>
  <xdr:twoCellAnchor>
    <xdr:from>
      <xdr:col>5</xdr:col>
      <xdr:colOff>84677</xdr:colOff>
      <xdr:row>37</xdr:row>
      <xdr:rowOff>38099</xdr:rowOff>
    </xdr:from>
    <xdr:to>
      <xdr:col>7</xdr:col>
      <xdr:colOff>9524</xdr:colOff>
      <xdr:row>41</xdr:row>
      <xdr:rowOff>72589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36EE307B-9362-5552-1786-5F66DCFDC214}"/>
            </a:ext>
          </a:extLst>
        </xdr:cNvPr>
        <xdr:cNvSpPr txBox="1"/>
      </xdr:nvSpPr>
      <xdr:spPr>
        <a:xfrm>
          <a:off x="1532477" y="5705474"/>
          <a:ext cx="686847" cy="65361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u="none" baseline="0">
              <a:solidFill>
                <a:srgbClr val="FF0000"/>
              </a:solidFill>
            </a:rPr>
            <a:t>1 CJ6T</a:t>
          </a:r>
        </a:p>
        <a:p>
          <a:pPr algn="ctr"/>
          <a:r>
            <a:rPr lang="en-US" sz="800" b="0" u="none" baseline="0">
              <a:solidFill>
                <a:srgbClr val="FF0000"/>
              </a:solidFill>
            </a:rPr>
            <a:t>1 CE1-3</a:t>
          </a:r>
        </a:p>
        <a:p>
          <a:pPr algn="ctr"/>
          <a:r>
            <a:rPr lang="en-US" sz="800" b="0" u="none" baseline="0">
              <a:solidFill>
                <a:srgbClr val="FF0000"/>
              </a:solidFill>
            </a:rPr>
            <a:t>1F1-3</a:t>
          </a:r>
        </a:p>
        <a:p>
          <a:pPr algn="ctr"/>
          <a:r>
            <a:rPr lang="en-US" sz="800" b="0" u="none" baseline="0">
              <a:solidFill>
                <a:srgbClr val="FF0000"/>
              </a:solidFill>
            </a:rPr>
            <a:t>1 CM2-12A</a:t>
          </a:r>
        </a:p>
      </xdr:txBody>
    </xdr:sp>
    <xdr:clientData/>
  </xdr:twoCellAnchor>
  <xdr:twoCellAnchor>
    <xdr:from>
      <xdr:col>5</xdr:col>
      <xdr:colOff>276225</xdr:colOff>
      <xdr:row>42</xdr:row>
      <xdr:rowOff>38100</xdr:rowOff>
    </xdr:from>
    <xdr:to>
      <xdr:col>6</xdr:col>
      <xdr:colOff>21506</xdr:colOff>
      <xdr:row>42</xdr:row>
      <xdr:rowOff>150543</xdr:rowOff>
    </xdr:to>
    <xdr:grpSp>
      <xdr:nvGrpSpPr>
        <xdr:cNvPr id="2" name="Group 682">
          <a:extLst>
            <a:ext uri="{FF2B5EF4-FFF2-40B4-BE49-F238E27FC236}">
              <a16:creationId xmlns:a16="http://schemas.microsoft.com/office/drawing/2014/main" id="{F6E739CA-05C2-4B1E-93DF-1246B7BA0C7C}"/>
            </a:ext>
          </a:extLst>
        </xdr:cNvPr>
        <xdr:cNvGrpSpPr>
          <a:grpSpLocks/>
        </xdr:cNvGrpSpPr>
      </xdr:nvGrpSpPr>
      <xdr:grpSpPr bwMode="auto">
        <a:xfrm>
          <a:off x="1733964" y="6374296"/>
          <a:ext cx="126281" cy="112443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3" name="Oval 2">
            <a:extLst>
              <a:ext uri="{FF2B5EF4-FFF2-40B4-BE49-F238E27FC236}">
                <a16:creationId xmlns:a16="http://schemas.microsoft.com/office/drawing/2014/main" id="{9D26BA75-6843-5F7A-D580-968F93B5934D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" name="Straight Connector 3">
            <a:extLst>
              <a:ext uri="{FF2B5EF4-FFF2-40B4-BE49-F238E27FC236}">
                <a16:creationId xmlns:a16="http://schemas.microsoft.com/office/drawing/2014/main" id="{81DE07E3-A5A2-FB74-5BAC-F778BA66B98C}"/>
              </a:ext>
            </a:extLst>
          </xdr:cNvPr>
          <xdr:cNvCxnSpPr>
            <a:stCxn id="3" idx="1"/>
            <a:endCxn id="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Straight Connector 4">
            <a:extLst>
              <a:ext uri="{FF2B5EF4-FFF2-40B4-BE49-F238E27FC236}">
                <a16:creationId xmlns:a16="http://schemas.microsoft.com/office/drawing/2014/main" id="{B890E0D3-3320-33F2-D7D9-205C8BB413F8}"/>
              </a:ext>
            </a:extLst>
          </xdr:cNvPr>
          <xdr:cNvCxnSpPr>
            <a:stCxn id="3" idx="3"/>
            <a:endCxn id="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238125</xdr:colOff>
      <xdr:row>39</xdr:row>
      <xdr:rowOff>85725</xdr:rowOff>
    </xdr:from>
    <xdr:to>
      <xdr:col>10</xdr:col>
      <xdr:colOff>65357</xdr:colOff>
      <xdr:row>41</xdr:row>
      <xdr:rowOff>66020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C449566-4BEC-4FAA-9C36-BBDADA155CF0}"/>
            </a:ext>
          </a:extLst>
        </xdr:cNvPr>
        <xdr:cNvSpPr txBox="1"/>
      </xdr:nvSpPr>
      <xdr:spPr>
        <a:xfrm>
          <a:off x="2828925" y="6067425"/>
          <a:ext cx="589232" cy="28509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0" u="none" baseline="0">
              <a:solidFill>
                <a:srgbClr val="FF0000"/>
              </a:solidFill>
            </a:rPr>
            <a:t>1 CJ5T</a:t>
          </a:r>
        </a:p>
      </xdr:txBody>
    </xdr:sp>
    <xdr:clientData/>
  </xdr:twoCellAnchor>
  <xdr:twoCellAnchor>
    <xdr:from>
      <xdr:col>7</xdr:col>
      <xdr:colOff>190500</xdr:colOff>
      <xdr:row>42</xdr:row>
      <xdr:rowOff>47625</xdr:rowOff>
    </xdr:from>
    <xdr:to>
      <xdr:col>8</xdr:col>
      <xdr:colOff>0</xdr:colOff>
      <xdr:row>42</xdr:row>
      <xdr:rowOff>140154</xdr:rowOff>
    </xdr:to>
    <xdr:grpSp>
      <xdr:nvGrpSpPr>
        <xdr:cNvPr id="10" name="Group 28">
          <a:extLst>
            <a:ext uri="{FF2B5EF4-FFF2-40B4-BE49-F238E27FC236}">
              <a16:creationId xmlns:a16="http://schemas.microsoft.com/office/drawing/2014/main" id="{CDD12A08-39B4-40D9-B132-5F2A631CC609}"/>
            </a:ext>
          </a:extLst>
        </xdr:cNvPr>
        <xdr:cNvGrpSpPr>
          <a:grpSpLocks/>
        </xdr:cNvGrpSpPr>
      </xdr:nvGrpSpPr>
      <xdr:grpSpPr bwMode="auto">
        <a:xfrm>
          <a:off x="2410239" y="6383821"/>
          <a:ext cx="190500" cy="92529"/>
          <a:chOff x="12267508" y="2212225"/>
          <a:chExt cx="192931" cy="101137"/>
        </a:xfrm>
      </xdr:grpSpPr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9A26DDF-3E39-E604-E4FE-C418D2AB52CA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435C1847-E5F9-98EB-6177-16984069D7CE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8CC63E05-4BFB-AEB9-414B-E2668D8E7CA5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74878DCD-0226-358C-A556-C6D186E8DC69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5</xdr:col>
      <xdr:colOff>502227</xdr:colOff>
      <xdr:row>13</xdr:row>
      <xdr:rowOff>103910</xdr:rowOff>
    </xdr:from>
    <xdr:to>
      <xdr:col>18</xdr:col>
      <xdr:colOff>17318</xdr:colOff>
      <xdr:row>48</xdr:row>
      <xdr:rowOff>11132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31E2B2D-92A2-F480-96C8-32E58FE24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18954" y="2286001"/>
          <a:ext cx="7394864" cy="536244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acair\Documents\SUCOFINDO\DISNAKER\K: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KKI%20SKKO\2022\KONTRAK%20P2TL%202022\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graf2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MEMO"/>
      <sheetName val="Breakdown Target"/>
      <sheetName val="2013"/>
      <sheetName val="DTU"/>
      <sheetName val="DeVIASI"/>
      <sheetName val="KoMposisi"/>
      <sheetName val="Kamus"/>
      <sheetName val="W-NAD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ipeg-U(12D2)"/>
      <sheetName val="BBaku(12C3)"/>
      <sheetName val="BiLuOp(14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INDEX"/>
      <sheetName val="W-NAD"/>
      <sheetName val="prod03"/>
      <sheetName val="REFERENSI"/>
      <sheetName val="aruskas"/>
      <sheetName val="Hal-1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Bipeg-U(12D2)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Cover"/>
      <sheetName val="Daftar I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MENU1"/>
      <sheetName val="Listrik Mati 05"/>
      <sheetName val="Tabel Kode"/>
      <sheetName val="rkap2008"/>
      <sheetName val="Smg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 refreshError="1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/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Smg"/>
      <sheetName val="Chart1"/>
      <sheetName val="DeVIASI"/>
      <sheetName val="KoMposisi"/>
      <sheetName val="PMT"/>
      <sheetName val="Data"/>
      <sheetName val="DTU"/>
      <sheetName val="harga material hps 2013"/>
      <sheetName val="RAB"/>
      <sheetName val="JAN07"/>
      <sheetName val="Kamus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REFERENSI"/>
      <sheetName val="Analisa Upah &amp; Bahan Plum"/>
      <sheetName val="HRG BHN"/>
      <sheetName val="Bill of Qty MEP"/>
      <sheetName val="LR"/>
      <sheetName val="RKS"/>
      <sheetName val="aruskas"/>
      <sheetName val="Hal-1"/>
      <sheetName val="Sheet5"/>
      <sheetName val="Harga BBM Indonesia"/>
      <sheetName val="PUNCAK-89"/>
      <sheetName val="Resume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Neraca seAPJ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W-NAD"/>
      <sheetName val="HPSI-Portion"/>
      <sheetName val="JAN09"/>
      <sheetName val="LR"/>
      <sheetName val="Kamus"/>
      <sheetName val="Cover"/>
      <sheetName val="Sheet5"/>
      <sheetName val="MATERIAL juni 05"/>
      <sheetName val="D2. ANALISA HS INSHAR"/>
      <sheetName val="Harga BBM Indonesia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master rab"/>
      <sheetName val="Format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Harga BBM Indonesia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dengan pembangkitan"/>
      <sheetName val="Urai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E3. ANALISA HS HAR TEK SUTM"/>
      <sheetName val="E6. ANALISA HS HAR"/>
      <sheetName val="PMT"/>
      <sheetName val="JAN07"/>
      <sheetName val="Kontrak vs Realisasi Gas"/>
      <sheetName val="D2. ANALISA HS INSHAR"/>
      <sheetName val="Asumsi"/>
      <sheetName val="Neraca seAPJ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Cover"/>
      <sheetName val="Rekap PMG."/>
      <sheetName val="Usulan"/>
      <sheetName val="FORM-B"/>
      <sheetName val="UPDATE 25 JANUARI 2007"/>
      <sheetName val="DeVIASI"/>
      <sheetName val="KoMposisi"/>
      <sheetName val="BERKAS"/>
      <sheetName val="Database"/>
      <sheetName val="data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Asumsi"/>
      <sheetName val="NerSubsis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LAMP_1L"/>
      <sheetName val="LAMP_4L"/>
      <sheetName val="LAMP_5L"/>
      <sheetName val="LAMP_7L"/>
      <sheetName val="PMT"/>
      <sheetName val="Smg"/>
      <sheetName val="NO. PRK"/>
      <sheetName val="Cover"/>
      <sheetName val="D2. ANALISA HS INSHAR"/>
      <sheetName val="Asumsi"/>
      <sheetName val="ca"/>
      <sheetName val="LR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Data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DB"/>
      <sheetName val="JURNAL"/>
      <sheetName val="BB PUSAT"/>
      <sheetName val="DTstok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NO. PRK"/>
      <sheetName val="UPDATE 25 JANUARI 2007"/>
      <sheetName val="Sudah Berjalan"/>
      <sheetName val="W-NAD"/>
      <sheetName val="SuMBER"/>
      <sheetName val="PMT"/>
      <sheetName val="beban"/>
      <sheetName val="INPBA"/>
      <sheetName val="HARGA SATU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Rekap PMG."/>
      <sheetName val="Neraca seAPJ"/>
      <sheetName val="APBN"/>
      <sheetName val="Jasa"/>
      <sheetName val="Mat"/>
      <sheetName val="sr"/>
      <sheetName val="HB2"/>
      <sheetName val="Sensitivitas"/>
      <sheetName val="Analisa"/>
      <sheetName val="Blangko Analisa"/>
      <sheetName val="Blangko RAB"/>
      <sheetName val="HPS"/>
      <sheetName val="impedansi"/>
      <sheetName val="DTU"/>
      <sheetName val="JAN07"/>
      <sheetName val="entry REC  trip"/>
      <sheetName val="Hal-1"/>
      <sheetName val="Sudah Berjalan"/>
      <sheetName val="FORM-B"/>
      <sheetName val="LAIN2"/>
      <sheetName val="x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Sheet3"/>
      <sheetName val="TRANS"/>
      <sheetName val="ca"/>
      <sheetName val="D2. ANL WAKTU INSHAR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TRANS"/>
      <sheetName val="tabel"/>
      <sheetName val="HB BARU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Jasa"/>
      <sheetName val="Mat"/>
      <sheetName val="HB2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W1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1" t="s">
        <v>1134</v>
      </c>
      <c r="C4" s="521"/>
      <c r="D4" s="521"/>
      <c r="E4" s="521"/>
      <c r="F4" s="521"/>
      <c r="G4" s="521"/>
      <c r="H4" s="52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2" t="s">
        <v>0</v>
      </c>
      <c r="C7" s="522" t="s">
        <v>1</v>
      </c>
      <c r="D7" s="523" t="s">
        <v>42</v>
      </c>
      <c r="E7" s="523" t="s">
        <v>43</v>
      </c>
      <c r="F7" s="523" t="s">
        <v>1135</v>
      </c>
      <c r="G7" s="524" t="s">
        <v>41</v>
      </c>
      <c r="H7" s="520" t="s">
        <v>1042</v>
      </c>
      <c r="I7" s="520" t="s">
        <v>1137</v>
      </c>
      <c r="J7" s="520" t="s">
        <v>1026</v>
      </c>
      <c r="K7" s="514" t="s">
        <v>1024</v>
      </c>
      <c r="L7" s="515"/>
    </row>
    <row r="8" spans="1:12" ht="15" customHeight="1">
      <c r="B8" s="522"/>
      <c r="C8" s="522"/>
      <c r="D8" s="523"/>
      <c r="E8" s="523"/>
      <c r="F8" s="523"/>
      <c r="G8" s="524"/>
      <c r="H8" s="520"/>
      <c r="I8" s="520"/>
      <c r="J8" s="520"/>
      <c r="K8" s="516"/>
      <c r="L8" s="517"/>
    </row>
    <row r="9" spans="1:12" ht="15" customHeight="1">
      <c r="B9" s="522"/>
      <c r="C9" s="522"/>
      <c r="D9" s="523"/>
      <c r="E9" s="523"/>
      <c r="F9" s="523"/>
      <c r="G9" s="524"/>
      <c r="H9" s="520"/>
      <c r="I9" s="520"/>
      <c r="J9" s="520"/>
      <c r="K9" s="518"/>
      <c r="L9" s="51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9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6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9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3x35+1x35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120</v>
      </c>
      <c r="G14" s="41">
        <f ca="1">IF(ISERROR(OFFSET('HARGA SATUAN'!$I$6,MATCH(C14,'HARGA SATUAN'!$C$7:$C$1492,0),0)),"",OFFSET('HARGA SATUAN'!$I$6,MATCH(C14,'HARGA SATUAN'!$C$7:$C$1492,0),0))</f>
        <v>30400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2 x 10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315</v>
      </c>
      <c r="G15" s="41">
        <f ca="1">IF(ISERROR(OFFSET('HARGA SATUAN'!$I$6,MATCH(C15,'HARGA SATUAN'!$C$7:$C$1492,0),0)),"",OFFSET('HARGA SATUAN'!$I$6,MATCH(C15,'HARGA SATUAN'!$C$7:$C$1492,0),0))</f>
        <v>4300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SUMIFS(RAB!$F$14:$F$72,RAB!$C$14:$C$72,C714)</f>
        <v>9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SUMIFS(RAB!$F$14:$F$72,RAB!$C$14:$C$72,C715)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SUMIFS(RAB!$F$14:$F$72,RAB!$C$14:$C$72,C716)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SUMIFS(RAB!$F$14:$F$72,RAB!$C$14:$C$72,C717)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SUMIFS(RAB!$F$14:$F$72,RAB!$C$14:$C$72,C718)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SUMIFS(RAB!$F$14:$F$72,RAB!$C$14:$C$72,C719)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SUMIFS(RAB!$F$14:$F$72,RAB!$C$14:$C$72,C720)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SUMIFS(RAB!$F$14:$F$72,RAB!$C$14:$C$72,C721)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SUMIFS(RAB!$F$14:$F$72,RAB!$C$14:$C$72,C722)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SUMIFS(RAB!$F$14:$F$72,RAB!$C$14:$C$72,C723)</f>
        <v>9</v>
      </c>
      <c r="E723" s="26">
        <f t="shared" ca="1" si="33"/>
        <v>1</v>
      </c>
      <c r="F723" s="26">
        <f ca="1">IF(D723=0,0,SUM($E$713:E723))</f>
        <v>2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SUMIFS(RAB!$F$14:$F$72,RAB!$C$14:$C$72,C724)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SUMIFS(RAB!$F$14:$F$72,RAB!$C$14:$C$72,C725)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SUMIFS(RAB!$F$14:$F$72,RAB!$C$14:$C$72,C726)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SUMIFS(RAB!$F$14:$F$72,RAB!$C$14:$C$72,C727)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SUMIFS(RAB!$F$14:$F$72,RAB!$C$14:$C$72,C728)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SUMIFS(RAB!$F$14:$F$72,RAB!$C$14:$C$72,C729)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SUMIFS(RAB!$F$14:$F$72,RAB!$C$14:$C$72,C730)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SUMIFS(RAB!$F$14:$F$72,RAB!$C$14:$C$72,C731)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SUMIFS(RAB!$F$14:$F$72,RAB!$C$14:$C$72,C732)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SUMIFS(RAB!$F$14:$F$72,RAB!$C$14:$C$72,C733)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SUMIFS(RAB!$F$14:$F$72,RAB!$C$14:$C$72,C734)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SUMIFS(RAB!$F$14:$F$72,RAB!$C$14:$C$72,C735)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SUMIFS(RAB!$F$14:$F$72,RAB!$C$14:$C$72,C736)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SUMIFS(RAB!$F$14:$F$72,RAB!$C$14:$C$72,C737)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SUMIFS(RAB!$F$14:$F$72,RAB!$C$14:$C$72,C738)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SUMIFS(RAB!$F$14:$F$72,RAB!$C$14:$C$72,C739)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SUMIFS(RAB!$F$14:$F$72,RAB!$C$14:$C$72,C740)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SUMIFS(RAB!$F$14:$F$72,RAB!$C$14:$C$72,C741)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SUMIFS(RAB!$F$14:$F$72,RAB!$C$14:$C$72,C742)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SUMIFS(RAB!$F$14:$F$72,RAB!$C$14:$C$72,C743)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SUMIFS(RAB!$F$14:$F$72,RAB!$C$14:$C$72,C744)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SUMIFS(RAB!$F$14:$F$72,RAB!$C$14:$C$72,C745)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SUMIFS(RAB!$F$14:$F$72,RAB!$C$14:$C$72,C746)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SUMIFS(RAB!$F$14:$F$72,RAB!$C$14:$C$72,C747)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SUMIFS(RAB!$F$14:$F$72,RAB!$C$14:$C$72,C748)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SUMIFS(RAB!$F$14:$F$72,RAB!$C$14:$C$72,C749)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SUMIFS(RAB!$F$14:$F$72,RAB!$C$14:$C$72,C750)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SUMIFS(RAB!$F$14:$F$72,RAB!$C$14:$C$72,C751)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SUMIFS(RAB!$F$14:$F$72,RAB!$C$14:$C$72,C752)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SUMIFS(RAB!$F$14:$F$72,RAB!$C$14:$C$72,C753)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SUMIFS(RAB!$F$14:$F$72,RAB!$C$14:$C$72,C754)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SUMIFS(RAB!$F$14:$F$72,RAB!$C$14:$C$72,C755)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SUMIFS(RAB!$F$14:$F$72,RAB!$C$14:$C$72,C756)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SUMIFS(RAB!$F$14:$F$72,RAB!$C$14:$C$72,C757)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SUMIFS(RAB!$F$14:$F$72,RAB!$C$14:$C$72,C758)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SUMIFS(RAB!$F$14:$F$72,RAB!$C$14:$C$72,C759)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SUMIFS(RAB!$F$14:$F$72,RAB!$C$14:$C$72,C760)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SUMIFS(RAB!$F$14:$F$72,RAB!$C$14:$C$72,C761)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SUMIFS(RAB!$F$14:$F$72,RAB!$C$14:$C$72,C762)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SUMIFS(RAB!$F$14:$F$72,RAB!$C$14:$C$72,C763)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SUMIFS(RAB!$F$14:$F$72,RAB!$C$14:$C$72,C764)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SUMIFS(RAB!$F$14:$F$72,RAB!$C$14:$C$72,C765)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SUMIFS(RAB!$F$14:$F$72,RAB!$C$14:$C$72,C766)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SUMIFS(RAB!$F$14:$F$72,RAB!$C$14:$C$72,C767)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SUMIFS(RAB!$F$14:$F$72,RAB!$C$14:$C$72,C768)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SUMIFS(RAB!$F$14:$F$72,RAB!$C$14:$C$72,C769)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SUMIFS(RAB!$F$14:$F$72,RAB!$C$14:$C$72,C770)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SUMIFS(RAB!$F$14:$F$72,RAB!$C$14:$C$72,C771)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SUMIFS(RAB!$F$14:$F$72,RAB!$C$14:$C$72,C772)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SUMIFS(RAB!$F$14:$F$72,RAB!$C$14:$C$72,C773)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SUMIFS(RAB!$F$14:$F$72,RAB!$C$14:$C$72,C774)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SUMIFS(RAB!$F$14:$F$72,RAB!$C$14:$C$72,C775)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SUMIFS(RAB!$F$14:$F$72,RAB!$C$14:$C$72,C776)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SUMIFS(RAB!$F$14:$F$72,RAB!$C$14:$C$72,C777)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SUMIFS(RAB!$F$14:$F$72,RAB!$C$14:$C$72,C778)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SUMIFS(RAB!$F$14:$F$72,RAB!$C$14:$C$72,C779)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SUMIFS(RAB!$F$14:$F$72,RAB!$C$14:$C$72,C780)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SUMIFS(RAB!$F$14:$F$72,RAB!$C$14:$C$72,C781)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SUMIFS(RAB!$F$14:$F$72,RAB!$C$14:$C$72,C782)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SUMIFS(RAB!$F$14:$F$72,RAB!$C$14:$C$72,C783)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SUMIFS(RAB!$F$14:$F$72,RAB!$C$14:$C$72,C784)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SUMIFS(RAB!$F$14:$F$72,RAB!$C$14:$C$72,C785)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SUMIFS(RAB!$F$14:$F$72,RAB!$C$14:$C$72,C786)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SUMIFS(RAB!$F$14:$F$72,RAB!$C$14:$C$72,C787)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SUMIFS(RAB!$F$14:$F$72,RAB!$C$14:$C$72,C788)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SUMIFS(RAB!$F$14:$F$72,RAB!$C$14:$C$72,C789)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SUMIFS(RAB!$F$14:$F$72,RAB!$C$14:$C$72,C790)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SUMIFS(RAB!$F$14:$F$72,RAB!$C$14:$C$72,C791)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SUMIFS(RAB!$F$14:$F$72,RAB!$C$14:$C$72,C792)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SUMIFS(RAB!$F$14:$F$72,RAB!$C$14:$C$72,C793)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SUMIFS(RAB!$F$14:$F$72,RAB!$C$14:$C$72,C794)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SUMIFS(RAB!$F$14:$F$72,RAB!$C$14:$C$72,C795)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SUMIFS(RAB!$F$14:$F$72,RAB!$C$14:$C$72,C796)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SUMIFS(RAB!$F$14:$F$72,RAB!$C$14:$C$72,C797)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SUMIFS(RAB!$F$14:$F$72,RAB!$C$14:$C$72,C798)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SUMIFS(RAB!$F$14:$F$72,RAB!$C$14:$C$72,C799)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SUMIFS(RAB!$F$14:$F$72,RAB!$C$14:$C$72,C800)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SUMIFS(RAB!$F$14:$F$72,RAB!$C$14:$C$72,C801)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SUMIFS(RAB!$F$14:$F$72,RAB!$C$14:$C$72,C802)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SUMIFS(RAB!$F$14:$F$72,RAB!$C$14:$C$72,C803)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SUMIFS(RAB!$F$14:$F$72,RAB!$C$14:$C$72,C804)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SUMIFS(RAB!$F$14:$F$72,RAB!$C$14:$C$72,C805)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SUMIFS(RAB!$F$14:$F$72,RAB!$C$14:$C$72,C806)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SUMIFS(RAB!$F$14:$F$72,RAB!$C$14:$C$72,C807)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SUMIFS(RAB!$F$14:$F$72,RAB!$C$14:$C$72,C808)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SUMIFS(RAB!$F$14:$F$72,RAB!$C$14:$C$72,C809)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SUMIFS(RAB!$F$14:$F$72,RAB!$C$14:$C$72,C810)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SUMIFS(RAB!$F$14:$F$72,RAB!$C$14:$C$72,C811)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SUMIFS(RAB!$F$14:$F$72,RAB!$C$14:$C$72,C812)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SUMIFS(RAB!$F$14:$F$72,RAB!$C$14:$C$72,C813)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SUMIFS(RAB!$F$14:$F$72,RAB!$C$14:$C$72,C814)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SUMIFS(RAB!$F$14:$F$72,RAB!$C$14:$C$72,C815)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SUMIFS(RAB!$F$14:$F$72,RAB!$C$14:$C$72,C816)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SUMIFS(RAB!$F$14:$F$72,RAB!$C$14:$C$72,C817)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SUMIFS(RAB!$F$14:$F$72,RAB!$C$14:$C$72,C818)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SUMIFS(RAB!$F$14:$F$72,RAB!$C$14:$C$72,C819)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SUMIFS(RAB!$F$14:$F$72,RAB!$C$14:$C$72,C820)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SUMIFS(RAB!$F$14:$F$72,RAB!$C$14:$C$72,C821)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SUMIFS(RAB!$F$14:$F$72,RAB!$C$14:$C$72,C822)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SUMIFS(RAB!$F$14:$F$72,RAB!$C$14:$C$72,C823)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SUMIFS(RAB!$F$14:$F$72,RAB!$C$14:$C$72,C824)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SUMIFS(RAB!$F$14:$F$72,RAB!$C$14:$C$72,C825)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SUMIFS(RAB!$F$14:$F$72,RAB!$C$14:$C$72,C826)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SUMIFS(RAB!$F$14:$F$72,RAB!$C$14:$C$72,C827)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SUMIFS(RAB!$F$14:$F$72,RAB!$C$14:$C$72,C828)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SUMIFS(RAB!$F$14:$F$72,RAB!$C$14:$C$72,C829)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SUMIFS(RAB!$F$14:$F$72,RAB!$C$14:$C$72,C830)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SUMIFS(RAB!$F$14:$F$72,RAB!$C$14:$C$72,C831)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SUMIFS(RAB!$F$14:$F$72,RAB!$C$14:$C$72,C832)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SUMIFS(RAB!$F$14:$F$72,RAB!$C$14:$C$72,C833)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SUMIFS(RAB!$F$14:$F$72,RAB!$C$14:$C$72,C834)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SUMIFS(RAB!$F$14:$F$72,RAB!$C$14:$C$72,C835)</f>
        <v>120</v>
      </c>
      <c r="E835" s="26">
        <f t="shared" ca="1" si="34"/>
        <v>1</v>
      </c>
      <c r="F835" s="26">
        <f ca="1">IF(D835=0,0,SUM($E$713:E835))</f>
        <v>3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SUMIFS(RAB!$F$14:$F$72,RAB!$C$14:$C$72,C836)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SUMIFS(RAB!$F$14:$F$72,RAB!$C$14:$C$72,C837)</f>
        <v>315</v>
      </c>
      <c r="E837" s="26">
        <f t="shared" ca="1" si="34"/>
        <v>1</v>
      </c>
      <c r="F837" s="26">
        <f ca="1">IF(D837=0,0,SUM($E$713:E837))</f>
        <v>4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SUMIFS(RAB!$F$14:$F$72,RAB!$C$14:$C$72,C838)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SUMIFS(RAB!$F$14:$F$72,RAB!$C$14:$C$72,C839)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SUMIFS(RAB!$F$14:$F$72,RAB!$C$14:$C$72,C840)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SUMIFS(RAB!$F$14:$F$72,RAB!$C$14:$C$72,C841)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SUMIFS(RAB!$F$14:$F$72,RAB!$C$14:$C$72,C842)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SUMIFS(RAB!$F$14:$F$72,RAB!$C$14:$C$72,C843)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SUMIFS(RAB!$F$14:$F$72,RAB!$C$14:$C$72,C844)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SUMIFS(RAB!$F$14:$F$72,RAB!$C$14:$C$72,C845)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SUMIFS(RAB!$F$14:$F$72,RAB!$C$14:$C$72,C846)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SUMIFS(RAB!$F$14:$F$72,RAB!$C$14:$C$72,C847)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SUMIFS(RAB!$F$14:$F$72,RAB!$C$14:$C$72,C848)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SUMIFS(RAB!$F$14:$F$72,RAB!$C$14:$C$72,C849)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SUMIFS(RAB!$F$14:$F$72,RAB!$C$14:$C$72,C850)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SUMIFS(RAB!$F$14:$F$72,RAB!$C$14:$C$72,C851)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SUMIFS(RAB!$F$14:$F$72,RAB!$C$14:$C$72,C852)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SUMIFS(RAB!$F$14:$F$72,RAB!$C$14:$C$72,C853)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SUMIFS(RAB!$F$14:$F$72,RAB!$C$14:$C$72,C854)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SUMIFS(RAB!$F$14:$F$72,RAB!$C$14:$C$72,C855)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SUMIFS(RAB!$F$14:$F$72,RAB!$C$14:$C$72,C856)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SUMIFS(RAB!$F$14:$F$72,RAB!$C$14:$C$72,C857)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SUMIFS(RAB!$F$14:$F$72,RAB!$C$14:$C$72,C858)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SUMIFS(RAB!$F$14:$F$72,RAB!$C$14:$C$72,C859)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SUMIFS(RAB!$F$14:$F$72,RAB!$C$14:$C$72,C860)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SUMIFS(RAB!$F$14:$F$72,RAB!$C$14:$C$72,C861)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SUMIFS(RAB!$F$14:$F$72,RAB!$C$14:$C$72,C862)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SUMIFS(RAB!$F$14:$F$72,RAB!$C$14:$C$72,C863)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SUMIFS(RAB!$F$14:$F$72,RAB!$C$14:$C$72,C864)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SUMIFS(RAB!$F$14:$F$72,RAB!$C$14:$C$72,C865)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SUMIFS(RAB!$F$14:$F$72,RAB!$C$14:$C$72,C866)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SUMIFS(RAB!$F$14:$F$72,RAB!$C$14:$C$72,C867)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SUMIFS(RAB!$F$14:$F$72,RAB!$C$14:$C$72,C868)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SUMIFS(RAB!$F$14:$F$72,RAB!$C$14:$C$72,C869)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SUMIFS(RAB!$F$14:$F$72,RAB!$C$14:$C$72,C870)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SUMIFS(RAB!$F$14:$F$72,RAB!$C$14:$C$72,C871)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SUMIFS(RAB!$F$14:$F$72,RAB!$C$14:$C$72,C872)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SUMIFS(RAB!$F$14:$F$72,RAB!$C$14:$C$72,C873)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SUMIFS(RAB!$F$14:$F$72,RAB!$C$14:$C$72,C874)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SUMIFS(RAB!$F$14:$F$72,RAB!$C$14:$C$72,C875)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SUMIFS(RAB!$F$14:$F$72,RAB!$C$14:$C$72,C876)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SUMIFS(RAB!$F$14:$F$72,RAB!$C$14:$C$72,C877)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SUMIFS(RAB!$F$14:$F$72,RAB!$C$14:$C$72,C878)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SUMIFS(RAB!$F$14:$F$72,RAB!$C$14:$C$72,C879)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SUMIFS(RAB!$F$14:$F$72,RAB!$C$14:$C$72,C880)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SUMIFS(RAB!$F$14:$F$72,RAB!$C$14:$C$72,C881)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SUMIFS(RAB!$F$14:$F$72,RAB!$C$14:$C$72,C882)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SUMIFS(RAB!$F$14:$F$72,RAB!$C$14:$C$72,C883)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SUMIFS(RAB!$F$14:$F$72,RAB!$C$14:$C$72,C884)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SUMIFS(RAB!$F$14:$F$72,RAB!$C$14:$C$72,C885)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SUMIFS(RAB!$F$14:$F$72,RAB!$C$14:$C$72,C886)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SUMIFS(RAB!$F$14:$F$72,RAB!$C$14:$C$72,C887)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SUMIFS(RAB!$F$14:$F$72,RAB!$C$14:$C$72,C888)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SUMIFS(RAB!$F$14:$F$72,RAB!$C$14:$C$72,C889)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SUMIFS(RAB!$F$14:$F$72,RAB!$C$14:$C$72,C890)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SUMIFS(RAB!$F$14:$F$72,RAB!$C$14:$C$72,C891)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SUMIFS(RAB!$F$14:$F$72,RAB!$C$14:$C$72,C892)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SUMIFS(RAB!$F$14:$F$72,RAB!$C$14:$C$72,C893)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SUMIFS(RAB!$F$14:$F$72,RAB!$C$14:$C$72,C894)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SUMIFS(RAB!$F$14:$F$72,RAB!$C$14:$C$72,C895)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SUMIFS(RAB!$F$14:$F$72,RAB!$C$14:$C$72,C896)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SUMIFS(RAB!$F$14:$F$72,RAB!$C$14:$C$72,C897)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SUMIFS(RAB!$F$14:$F$72,RAB!$C$14:$C$72,C898)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SUMIFS(RAB!$F$14:$F$72,RAB!$C$14:$C$72,C899)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SUMIFS(RAB!$F$14:$F$72,RAB!$C$14:$C$72,C900)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SUMIFS(RAB!$F$14:$F$72,RAB!$C$14:$C$72,C901)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SUMIFS(RAB!$F$14:$F$72,RAB!$C$14:$C$72,C902)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SUMIFS(RAB!$F$14:$F$72,RAB!$C$14:$C$72,C903)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SUMIFS(RAB!$F$14:$F$72,RAB!$C$14:$C$72,C904)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SUMIFS(RAB!$F$14:$F$72,RAB!$C$14:$C$72,C905)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SUMIFS(RAB!$F$14:$F$72,RAB!$C$14:$C$72,C906)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SUMIFS(RAB!$F$14:$F$72,RAB!$C$14:$C$72,C907)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SUMIFS(RAB!$F$14:$F$72,RAB!$C$14:$C$72,C908)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SUMIFS(RAB!$F$14:$F$72,RAB!$C$14:$C$72,C909)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SUMIFS(RAB!$F$14:$F$72,RAB!$C$14:$C$72,C910)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SUMIFS(RAB!$F$14:$F$72,RAB!$C$14:$C$72,C911)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SUMIFS(RAB!$F$14:$F$72,RAB!$C$14:$C$72,C912)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SUMIFS(RAB!$F$14:$F$72,RAB!$C$14:$C$72,C913)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SUMIFS(RAB!$F$14:$F$72,RAB!$C$14:$C$72,C914)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SUMIFS(RAB!$F$14:$F$72,RAB!$C$14:$C$72,C915)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SUMIFS(RAB!$F$14:$F$72,RAB!$C$14:$C$72,C916)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SUMIFS(RAB!$F$14:$F$72,RAB!$C$14:$C$72,C917)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SUMIFS(RAB!$F$14:$F$72,RAB!$C$14:$C$72,C918)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SUMIFS(RAB!$F$14:$F$72,RAB!$C$14:$C$72,C919)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SUMIFS(RAB!$F$14:$F$72,RAB!$C$14:$C$72,C920)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SUMIFS(RAB!$F$14:$F$72,RAB!$C$14:$C$72,C921)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SUMIFS(RAB!$F$14:$F$72,RAB!$C$14:$C$72,C922)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SUMIFS(RAB!$F$14:$F$72,RAB!$C$14:$C$72,C923)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SUMIFS(RAB!$F$14:$F$72,RAB!$C$14:$C$72,C924)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SUMIFS(RAB!$F$14:$F$72,RAB!$C$14:$C$72,C925)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SUMIFS(RAB!$F$14:$F$72,RAB!$C$14:$C$72,C926)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SUMIFS(RAB!$F$14:$F$72,RAB!$C$14:$C$72,C927)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SUMIFS(RAB!$F$14:$F$72,RAB!$C$14:$C$72,C928)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SUMIFS(RAB!$F$14:$F$72,RAB!$C$14:$C$72,C929)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SUMIFS(RAB!$F$14:$F$72,RAB!$C$14:$C$72,C930)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SUMIFS(RAB!$F$14:$F$72,RAB!$C$14:$C$72,C931)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SUMIFS(RAB!$F$14:$F$72,RAB!$C$14:$C$72,C932)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SUMIFS(RAB!$F$14:$F$72,RAB!$C$14:$C$72,C933)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SUMIFS(RAB!$F$14:$F$72,RAB!$C$14:$C$72,C934)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SUMIFS(RAB!$F$14:$F$72,RAB!$C$14:$C$72,C935)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SUMIFS(RAB!$F$14:$F$72,RAB!$C$14:$C$72,C936)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SUMIFS(RAB!$F$14:$F$72,RAB!$C$14:$C$72,C937)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SUMIFS(RAB!$F$14:$F$72,RAB!$C$14:$C$72,C938)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SUMIFS(RAB!$F$14:$F$72,RAB!$C$14:$C$72,C939)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SUMIFS(RAB!$F$14:$F$72,RAB!$C$14:$C$72,C940)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SUMIFS(RAB!$F$14:$F$72,RAB!$C$14:$C$72,C941)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SUMIFS(RAB!$F$14:$F$72,RAB!$C$14:$C$72,C942)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SUMIFS(RAB!$F$14:$F$72,RAB!$C$14:$C$72,C943)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SUMIFS(RAB!$F$14:$F$72,RAB!$C$14:$C$72,C944)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SUMIFS(RAB!$F$14:$F$72,RAB!$C$14:$C$72,C945)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SUMIFS(RAB!$F$14:$F$72,RAB!$C$14:$C$72,C946)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SUMIFS(RAB!$F$14:$F$72,RAB!$C$14:$C$72,C947)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SUMIFS(RAB!$F$14:$F$72,RAB!$C$14:$C$72,C948)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SUMIFS(RAB!$F$14:$F$72,RAB!$C$14:$C$72,C949)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SUMIFS(RAB!$F$14:$F$72,RAB!$C$14:$C$72,C950)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SUMIFS(RAB!$F$14:$F$72,RAB!$C$14:$C$72,C951)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SUMIFS(RAB!$F$14:$F$72,RAB!$C$14:$C$72,C952)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SUMIFS(RAB!$F$14:$F$72,RAB!$C$14:$C$72,C953)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SUMIFS(RAB!$F$14:$F$72,RAB!$C$14:$C$72,C954)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SUMIFS(RAB!$F$14:$F$72,RAB!$C$14:$C$72,C955)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SUMIFS(RAB!$F$14:$F$72,RAB!$C$14:$C$72,C956)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SUMIFS(RAB!$F$14:$F$72,RAB!$C$14:$C$72,C957)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SUMIFS(RAB!$F$14:$F$72,RAB!$C$14:$C$72,C958)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SUMIFS(RAB!$F$14:$F$72,RAB!$C$14:$C$72,C959)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SUMIFS(RAB!$F$14:$F$72,RAB!$C$14:$C$72,C960)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SUMIFS(RAB!$F$14:$F$72,RAB!$C$14:$C$72,C961)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SUMIFS(RAB!$F$14:$F$72,RAB!$C$14:$C$72,C962)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SUMIFS(RAB!$F$14:$F$72,RAB!$C$14:$C$72,C963)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SUMIFS(RAB!$F$14:$F$72,RAB!$C$14:$C$72,C964)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SUMIFS(RAB!$F$14:$F$72,RAB!$C$14:$C$72,C965)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SUMIFS(RAB!$F$14:$F$72,RAB!$C$14:$C$72,C966)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SUMIFS(RAB!$F$14:$F$72,RAB!$C$14:$C$72,C967)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SUMIFS(RAB!$F$14:$F$72,RAB!$C$14:$C$72,C968)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SUMIFS(RAB!$F$14:$F$72,RAB!$C$14:$C$72,C969)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SUMIFS(RAB!$F$14:$F$72,RAB!$C$14:$C$72,C970)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SUMIFS(RAB!$F$14:$F$72,RAB!$C$14:$C$72,C971)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SUMIFS(RAB!$F$14:$F$72,RAB!$C$14:$C$72,C972)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SUMIFS(RAB!$F$14:$F$72,RAB!$C$14:$C$72,C973)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SUMIFS(RAB!$F$14:$F$72,RAB!$C$14:$C$72,C974)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SUMIFS(RAB!$F$14:$F$72,RAB!$C$14:$C$72,C975)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SUMIFS(RAB!$F$14:$F$72,RAB!$C$14:$C$72,C976)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SUMIFS(RAB!$F$14:$F$72,RAB!$C$14:$C$72,C977)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SUMIFS(RAB!$F$14:$F$72,RAB!$C$14:$C$72,C978)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SUMIFS(RAB!$F$14:$F$72,RAB!$C$14:$C$72,C979)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SUMIFS(RAB!$F$14:$F$72,RAB!$C$14:$C$72,C980)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SUMIFS(RAB!$F$14:$F$72,RAB!$C$14:$C$72,C981)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SUMIFS(RAB!$F$14:$F$72,RAB!$C$14:$C$72,C982)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SUMIFS(RAB!$F$14:$F$72,RAB!$C$14:$C$72,C983)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SUMIFS(RAB!$F$14:$F$72,RAB!$C$14:$C$72,C984)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SUMIFS(RAB!$F$14:$F$72,RAB!$C$14:$C$72,C985)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SUMIFS(RAB!$F$14:$F$72,RAB!$C$14:$C$72,C986)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SUMIFS(RAB!$F$14:$F$72,RAB!$C$14:$C$72,C987)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SUMIFS(RAB!$F$14:$F$72,RAB!$C$14:$C$72,C988)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SUMIFS(RAB!$F$14:$F$72,RAB!$C$14:$C$72,C989)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SUMIFS(RAB!$F$14:$F$72,RAB!$C$14:$C$72,C990)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SUMIFS(RAB!$F$14:$F$72,RAB!$C$14:$C$72,C991)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SUMIFS(RAB!$F$14:$F$72,RAB!$C$14:$C$72,C992)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SUMIFS(RAB!$F$14:$F$72,RAB!$C$14:$C$72,C993)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SUMIFS(RAB!$F$14:$F$72,RAB!$C$14:$C$72,C994)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SUMIFS(RAB!$F$14:$F$72,RAB!$C$14:$C$72,C995)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SUMIFS(RAB!$F$14:$F$72,RAB!$C$14:$C$72,C996)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SUMIFS(RAB!$F$14:$F$72,RAB!$C$14:$C$72,C997)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SUMIFS(RAB!$F$14:$F$72,RAB!$C$14:$C$72,C998)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SUMIFS(RAB!$F$14:$F$72,RAB!$C$14:$C$72,C999)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SUMIFS(RAB!$F$14:$F$72,RAB!$C$14:$C$72,C1000)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SUMIFS(RAB!$F$14:$F$72,RAB!$C$14:$C$72,C1001)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SUMIFS(RAB!$F$14:$F$72,RAB!$C$14:$C$72,C1002)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SUMIFS(RAB!$F$14:$F$72,RAB!$C$14:$C$72,C1003)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SUMIFS(RAB!$F$14:$F$72,RAB!$C$14:$C$72,C1004)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SUMIFS(RAB!$F$14:$F$72,RAB!$C$14:$C$72,C1005)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SUMIFS(RAB!$F$14:$F$72,RAB!$C$14:$C$72,C1006)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SUMIFS(RAB!$F$14:$F$72,RAB!$C$14:$C$72,C1007)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SUMIFS(RAB!$F$14:$F$72,RAB!$C$14:$C$72,C1008)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SUMIFS(RAB!$F$14:$F$72,RAB!$C$14:$C$72,C1009)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SUMIFS(RAB!$F$14:$F$72,RAB!$C$14:$C$72,C1010)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SUMIFS(RAB!$F$14:$F$72,RAB!$C$14:$C$72,C1011)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SUMIFS(RAB!$F$14:$F$72,RAB!$C$14:$C$72,C1012)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SUMIFS(RAB!$F$14:$F$72,RAB!$C$14:$C$72,C1013)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SUMIFS(RAB!$F$14:$F$72,RAB!$C$14:$C$72,C1014)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SUMIFS(RAB!$F$14:$F$72,RAB!$C$14:$C$72,C1015)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SUMIFS(RAB!$F$14:$F$72,RAB!$C$14:$C$72,C1016)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SUMIFS(RAB!$F$14:$F$72,RAB!$C$14:$C$72,C1017)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SUMIFS(RAB!$F$14:$F$72,RAB!$C$14:$C$72,C1018)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SUMIFS(RAB!$F$14:$F$72,RAB!$C$14:$C$72,C1019)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SUMIFS(RAB!$F$14:$F$72,RAB!$C$14:$C$72,C1020)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SUMIFS(RAB!$F$14:$F$72,RAB!$C$14:$C$72,C1021)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SUMIFS(RAB!$F$14:$F$72,RAB!$C$14:$C$72,C1022)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SUMIFS(RAB!$F$14:$F$72,RAB!$C$14:$C$72,C1023)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SUMIFS(RAB!$F$14:$F$72,RAB!$C$14:$C$72,C1024)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SUMIFS(RAB!$F$14:$F$72,RAB!$C$14:$C$72,C1025)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SUMIFS(RAB!$F$14:$F$72,RAB!$C$14:$C$72,C1026)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SUMIFS(RAB!$F$14:$F$72,RAB!$C$14:$C$72,C1027)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SUMIFS(RAB!$F$14:$F$72,RAB!$C$14:$C$72,C1028)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SUMIFS(RAB!$F$14:$F$72,RAB!$C$14:$C$72,C1029)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SUMIFS(RAB!$F$14:$F$72,RAB!$C$14:$C$72,C1030)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SUMIFS(RAB!$F$14:$F$72,RAB!$C$14:$C$72,C1031)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SUMIFS(RAB!$F$14:$F$72,RAB!$C$14:$C$72,C1032)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SUMIFS(RAB!$F$14:$F$72,RAB!$C$14:$C$72,C1033)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SUMIFS(RAB!$F$14:$F$72,RAB!$C$14:$C$72,C1034)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SUMIFS(RAB!$F$14:$F$72,RAB!$C$14:$C$72,C1035)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SUMIFS(RAB!$F$14:$F$72,RAB!$C$14:$C$72,C1036)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SUMIFS(RAB!$F$14:$F$72,RAB!$C$14:$C$72,C1037)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SUMIFS(RAB!$F$14:$F$72,RAB!$C$14:$C$72,C1038)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SUMIFS(RAB!$F$14:$F$72,RAB!$C$14:$C$72,C1039)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SUMIFS(RAB!$F$14:$F$72,RAB!$C$14:$C$72,C1040)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SUMIFS(RAB!$F$14:$F$72,RAB!$C$14:$C$72,C1041)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SUMIFS(RAB!$F$14:$F$72,RAB!$C$14:$C$72,C1042)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SUMIFS(RAB!$F$14:$F$72,RAB!$C$14:$C$72,C1043)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SUMIFS(RAB!$F$14:$F$72,RAB!$C$14:$C$72,C1044)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SUMIFS(RAB!$F$14:$F$72,RAB!$C$14:$C$72,C1045)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SUMIFS(RAB!$F$14:$F$72,RAB!$C$14:$C$72,C1046)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SUMIFS(RAB!$F$14:$F$72,RAB!$C$14:$C$72,C1047)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SUMIFS(RAB!$F$14:$F$72,RAB!$C$14:$C$72,C1048)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SUMIFS(RAB!$F$14:$F$72,RAB!$C$14:$C$72,C1049)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SUMIFS(RAB!$F$14:$F$72,RAB!$C$14:$C$72,C1050)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SUMIFS(RAB!$F$14:$F$72,RAB!$C$14:$C$72,C1051)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SUMIFS(RAB!$F$14:$F$72,RAB!$C$14:$C$72,C1052)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SUMIFS(RAB!$F$14:$F$72,RAB!$C$14:$C$72,C1053)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SUMIFS(RAB!$F$14:$F$72,RAB!$C$14:$C$72,C1054)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SUMIFS(RAB!$F$14:$F$72,RAB!$C$14:$C$72,C1055)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SUMIFS(RAB!$F$14:$F$72,RAB!$C$14:$C$72,C1056)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SUMIFS(RAB!$F$14:$F$72,RAB!$C$14:$C$72,C1057)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SUMIFS(RAB!$F$14:$F$72,RAB!$C$14:$C$72,C1058)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SUMIFS(RAB!$F$14:$F$72,RAB!$C$14:$C$72,C1059)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SUMIFS(RAB!$F$14:$F$72,RAB!$C$14:$C$72,C1060)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SUMIFS(RAB!$F$14:$F$72,RAB!$C$14:$C$72,C1061)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SUMIFS(RAB!$F$14:$F$72,RAB!$C$14:$C$72,C1062)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SUMIFS(RAB!$F$14:$F$72,RAB!$C$14:$C$72,C1063)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SUMIFS(RAB!$F$14:$F$72,RAB!$C$14:$C$72,C1064)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SUMIFS(RAB!$F$14:$F$72,RAB!$C$14:$C$72,C1065)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SUMIFS(RAB!$F$14:$F$72,RAB!$C$14:$C$72,C1066)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SUMIFS(RAB!$F$14:$F$72,RAB!$C$14:$C$72,C1067)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SUMIFS(RAB!$F$14:$F$72,RAB!$C$14:$C$72,C1068)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SUMIFS(RAB!$F$14:$F$72,RAB!$C$14:$C$72,C1069)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SUMIFS(RAB!$F$14:$F$72,RAB!$C$14:$C$72,C1070)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SUMIFS(RAB!$F$14:$F$72,RAB!$C$14:$C$72,C1071)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SUMIFS(RAB!$F$14:$F$72,RAB!$C$14:$C$72,C1072)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SUMIFS(RAB!$F$14:$F$72,RAB!$C$14:$C$72,C1073)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SUMIFS(RAB!$F$14:$F$72,RAB!$C$14:$C$72,C1074)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SUMIFS(RAB!$F$14:$F$72,RAB!$C$14:$C$72,C1075)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SUMIFS(RAB!$F$14:$F$72,RAB!$C$14:$C$72,C1076)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SUMIFS(RAB!$F$14:$F$72,RAB!$C$14:$C$72,C1077)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SUMIFS(RAB!$F$14:$F$72,RAB!$C$14:$C$72,C1078)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SUMIFS(RAB!$F$14:$F$72,RAB!$C$14:$C$72,C1079)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SUMIFS(RAB!$F$14:$F$72,RAB!$C$14:$C$72,C1080)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SUMIFS(RAB!$F$14:$F$72,RAB!$C$14:$C$72,C1081)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SUMIFS(RAB!$F$14:$F$72,RAB!$C$14:$C$72,C1082)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SUMIFS(RAB!$F$14:$F$72,RAB!$C$14:$C$72,C1083)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SUMIFS(RAB!$F$14:$F$72,RAB!$C$14:$C$72,C1084)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SUMIFS(RAB!$F$14:$F$72,RAB!$C$14:$C$72,C1085)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SUMIFS(RAB!$F$14:$F$72,RAB!$C$14:$C$72,C1086)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SUMIFS(RAB!$F$14:$F$72,RAB!$C$14:$C$72,C1087)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SUMIFS(RAB!$F$14:$F$72,RAB!$C$14:$C$72,C1088)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SUMIFS(RAB!$F$14:$F$72,RAB!$C$14:$C$72,C1089)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SUMIFS(RAB!$F$14:$F$72,RAB!$C$14:$C$72,C1090)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SUMIFS(RAB!$F$14:$F$72,RAB!$C$14:$C$72,C1091)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SUMIFS(RAB!$F$14:$F$72,RAB!$C$14:$C$72,C1092)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SUMIFS(RAB!$F$14:$F$72,RAB!$C$14:$C$72,C1093)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SUMIFS(RAB!$F$14:$F$72,RAB!$C$14:$C$72,C1094)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SUMIFS(RAB!$F$14:$F$72,RAB!$C$14:$C$72,C1095)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SUMIFS(RAB!$F$14:$F$72,RAB!$C$14:$C$72,C1096)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SUMIFS(RAB!$F$14:$F$72,RAB!$C$14:$C$72,C1097)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SUMIFS(RAB!$F$14:$F$72,RAB!$C$14:$C$72,C1098)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SUMIFS(RAB!$F$14:$F$72,RAB!$C$14:$C$72,C1099)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SUMIFS(RAB!$F$14:$F$72,RAB!$C$14:$C$72,C1100)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SUMIFS(RAB!$F$14:$F$72,RAB!$C$14:$C$72,C1101)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SUMIFS(RAB!$F$14:$F$72,RAB!$C$14:$C$72,C1102)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SUMIFS(RAB!$F$14:$F$72,RAB!$C$14:$C$72,C1103)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SUMIFS(RAB!$F$14:$F$72,RAB!$C$14:$C$72,C1104)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SUMIFS(RAB!$F$14:$F$72,RAB!$C$14:$C$72,C1105)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SUMIFS(RAB!$F$14:$F$72,RAB!$C$14:$C$72,C1106)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SUMIFS(RAB!$F$14:$F$72,RAB!$C$14:$C$72,C1107)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SUMIFS(RAB!$F$14:$F$72,RAB!$C$14:$C$72,C1108)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SUMIFS(RAB!$F$14:$F$72,RAB!$C$14:$C$72,C1109)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SUMIFS(RAB!$F$14:$F$72,RAB!$C$14:$C$72,C1110)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SUMIFS(RAB!$F$14:$F$72,RAB!$C$14:$C$72,C1111)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SUMIFS(RAB!$F$14:$F$72,RAB!$C$14:$C$72,C1112)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SUMIFS(RAB!$F$14:$F$72,RAB!$C$14:$C$72,C1113)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SUMIFS(RAB!$F$14:$F$72,RAB!$C$14:$C$72,C1114)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SUMIFS(RAB!$F$14:$F$72,RAB!$C$14:$C$72,C1115)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SUMIFS(RAB!$F$14:$F$72,RAB!$C$14:$C$72,C1116)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SUMIFS(RAB!$F$14:$F$72,RAB!$C$14:$C$72,C1117)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SUMIFS(RAB!$F$14:$F$72,RAB!$C$14:$C$72,C1118)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SUMIFS(RAB!$F$14:$F$72,RAB!$C$14:$C$72,C1119)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SUMIFS(RAB!$F$14:$F$72,RAB!$C$14:$C$72,C1120)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SUMIFS(RAB!$F$14:$F$72,RAB!$C$14:$C$72,C1121)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SUMIFS(RAB!$F$14:$F$72,RAB!$C$14:$C$72,C1122)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SUMIFS(RAB!$F$14:$F$72,RAB!$C$14:$C$72,C1123)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SUMIFS(RAB!$F$14:$F$72,RAB!$C$14:$C$72,C1124)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SUMIFS(RAB!$F$14:$F$72,RAB!$C$14:$C$72,C1125)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SUMIFS(RAB!$F$14:$F$72,RAB!$C$14:$C$72,C1126)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SUMIFS(RAB!$F$14:$F$72,RAB!$C$14:$C$72,C1127)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SUMIFS(RAB!$F$14:$F$72,RAB!$C$14:$C$72,C1128)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SUMIFS(RAB!$F$14:$F$72,RAB!$C$14:$C$72,C1129)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SUMIFS(RAB!$F$14:$F$72,RAB!$C$14:$C$72,C1130)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SUMIFS(RAB!$F$14:$F$72,RAB!$C$14:$C$72,C1131)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SUMIFS(RAB!$F$14:$F$72,RAB!$C$14:$C$72,C1132)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SUMIFS(RAB!$F$14:$F$72,RAB!$C$14:$C$72,C1133)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SUMIFS(RAB!$F$14:$F$72,RAB!$C$14:$C$72,C1134)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SUMIFS(RAB!$F$14:$F$72,RAB!$C$14:$C$72,C1135)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SUMIFS(RAB!$F$14:$F$72,RAB!$C$14:$C$72,C1136)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SUMIFS(RAB!$F$14:$F$72,RAB!$C$14:$C$72,C1137)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SUMIFS(RAB!$F$14:$F$72,RAB!$C$14:$C$72,C1138)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SUMIFS(RAB!$F$14:$F$72,RAB!$C$14:$C$72,C1139)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SUMIFS(RAB!$F$14:$F$72,RAB!$C$14:$C$72,C1140)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SUMIFS(RAB!$F$14:$F$72,RAB!$C$14:$C$72,C1141)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SUMIFS(RAB!$F$14:$F$72,RAB!$C$14:$C$72,C1142)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SUMIFS(RAB!$F$14:$F$72,RAB!$C$14:$C$72,C1143)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SUMIFS(RAB!$F$14:$F$72,RAB!$C$14:$C$72,C1144)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SUMIFS(RAB!$F$14:$F$72,RAB!$C$14:$C$72,C1145)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SUMIFS(RAB!$F$14:$F$72,RAB!$C$14:$C$72,C1146)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SUMIFS(RAB!$F$14:$F$72,RAB!$C$14:$C$72,C1147)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SUMIFS(RAB!$F$14:$F$72,RAB!$C$14:$C$72,C1148)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SUMIFS(RAB!$F$14:$F$72,RAB!$C$14:$C$72,C1149)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SUMIFS(RAB!$F$14:$F$72,RAB!$C$14:$C$72,C1150)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SUMIFS(RAB!$F$14:$F$72,RAB!$C$14:$C$72,C1151)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SUMIFS(RAB!$F$14:$F$72,RAB!$C$14:$C$72,C1152)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SUMIFS(RAB!$F$14:$F$72,RAB!$C$14:$C$72,C1153)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SUMIFS(RAB!$F$14:$F$72,RAB!$C$14:$C$72,C1154)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SUMIFS(RAB!$F$14:$F$72,RAB!$C$14:$C$72,C1155)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SUMIFS(RAB!$F$14:$F$72,RAB!$C$14:$C$72,C1156)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SUMIFS(RAB!$F$14:$F$72,RAB!$C$14:$C$72,C1157)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SUMIFS(RAB!$F$14:$F$72,RAB!$C$14:$C$72,C1158)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SUMIFS(RAB!$F$14:$F$72,RAB!$C$14:$C$72,C1159)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SUMIFS(RAB!$F$14:$F$72,RAB!$C$14:$C$72,C1160)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SUMIFS(RAB!$F$14:$F$72,RAB!$C$14:$C$72,C1161)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SUMIFS(RAB!$F$14:$F$72,RAB!$C$14:$C$72,C1162)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SUMIFS(RAB!$F$14:$F$72,RAB!$C$14:$C$72,C1163)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SUMIFS(RAB!$F$14:$F$72,RAB!$C$14:$C$72,C1164)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SUMIFS(RAB!$F$14:$F$72,RAB!$C$14:$C$72,C1165)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SUMIFS(RAB!$F$14:$F$72,RAB!$C$14:$C$72,C1166)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SUMIFS(RAB!$F$14:$F$72,RAB!$C$14:$C$72,C1167)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SUMIFS(RAB!$F$14:$F$72,RAB!$C$14:$C$72,C1168)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SUMIFS(RAB!$F$14:$F$72,RAB!$C$14:$C$72,C1169)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SUMIFS(RAB!$F$14:$F$72,RAB!$C$14:$C$72,C1170)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SUMIFS(RAB!$F$14:$F$72,RAB!$C$14:$C$72,C1171)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SUMIFS(RAB!$F$14:$F$72,RAB!$C$14:$C$72,C1172)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SUMIFS(RAB!$F$14:$F$72,RAB!$C$14:$C$72,C1173)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SUMIFS(RAB!$F$14:$F$72,RAB!$C$14:$C$72,C1174)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SUMIFS(RAB!$F$14:$F$72,RAB!$C$14:$C$72,C1175)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SUMIFS(RAB!$F$14:$F$72,RAB!$C$14:$C$72,C1176)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SUMIFS(RAB!$F$14:$F$72,RAB!$C$14:$C$72,C1177)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SUMIFS(RAB!$F$14:$F$72,RAB!$C$14:$C$72,C1178)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SUMIFS(RAB!$F$14:$F$72,RAB!$C$14:$C$72,C1179)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SUMIFS(RAB!$F$14:$F$72,RAB!$C$14:$C$72,C1180)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SUMIFS(RAB!$F$14:$F$72,RAB!$C$14:$C$72,C1181)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SUMIFS(RAB!$F$14:$F$72,RAB!$C$14:$C$72,C1182)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SUMIFS(RAB!$F$14:$F$72,RAB!$C$14:$C$72,C1183)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SUMIFS(RAB!$F$14:$F$72,RAB!$C$14:$C$72,C1184)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SUMIFS(RAB!$F$14:$F$72,RAB!$C$14:$C$72,C1185)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SUMIFS(RAB!$F$14:$F$72,RAB!$C$14:$C$72,C1186)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SUMIFS(RAB!$F$14:$F$72,RAB!$C$14:$C$72,C1187)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SUMIFS(RAB!$F$14:$F$72,RAB!$C$14:$C$72,C1188)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SUMIFS(RAB!$F$14:$F$72,RAB!$C$14:$C$72,C1189)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SUMIFS(RAB!$F$14:$F$72,RAB!$C$14:$C$72,C1190)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SUMIFS(RAB!$F$14:$F$72,RAB!$C$14:$C$72,C1191)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SUMIFS(RAB!$F$14:$F$72,RAB!$C$14:$C$72,C1192)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SUMIFS(RAB!$F$14:$F$72,RAB!$C$14:$C$72,C1193)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SUMIFS(RAB!$F$14:$F$72,RAB!$C$14:$C$72,C1194)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SUMIFS(RAB!$F$14:$F$72,RAB!$C$14:$C$72,C1195)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SUMIFS(RAB!$F$14:$F$72,RAB!$C$14:$C$72,C1196)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SUMIFS(RAB!$F$14:$F$72,RAB!$C$14:$C$72,C1197)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SUMIFS(RAB!$F$14:$F$72,RAB!$C$14:$C$72,C1198)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SUMIFS(RAB!$F$14:$F$72,RAB!$C$14:$C$72,C1199)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SUMIFS(RAB!$F$14:$F$72,RAB!$C$14:$C$72,C1200)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SUMIFS(RAB!$F$14:$F$72,RAB!$C$14:$C$72,C1201)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SUMIFS(RAB!$F$14:$F$72,RAB!$C$14:$C$72,C1202)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SUMIFS(RAB!$F$14:$F$72,RAB!$C$14:$C$72,C1203)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SUMIFS(RAB!$F$14:$F$72,RAB!$C$14:$C$72,C1204)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SUMIFS(RAB!$F$14:$F$72,RAB!$C$14:$C$72,C1205)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SUMIFS(RAB!$F$14:$F$72,RAB!$C$14:$C$72,C1206)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SUMIFS(RAB!$F$14:$F$72,RAB!$C$14:$C$72,C1207)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SUMIFS(RAB!$F$14:$F$72,RAB!$C$14:$C$72,C1208)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SUMIFS(RAB!$F$14:$F$72,RAB!$C$14:$C$72,C1209)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SUMIFS(RAB!$F$14:$F$72,RAB!$C$14:$C$72,C1210)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SUMIFS(RAB!$F$14:$F$72,RAB!$C$14:$C$72,C1211)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SUMIFS(RAB!$F$14:$F$72,RAB!$C$14:$C$72,C1212)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SUMIFS(RAB!$F$14:$F$72,RAB!$C$14:$C$72,C1213)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SUMIFS(RAB!$F$14:$F$72,RAB!$C$14:$C$72,C1214)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SUMIFS(RAB!$F$14:$F$72,RAB!$C$14:$C$72,C1215)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SUMIFS(RAB!$F$14:$F$72,RAB!$C$14:$C$72,C1216)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SUMIFS(RAB!$F$14:$F$72,RAB!$C$14:$C$72,C1217)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SUMIFS(RAB!$F$14:$F$72,RAB!$C$14:$C$72,C1218)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SUMIFS(RAB!$F$14:$F$72,RAB!$C$14:$C$72,C1219)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SUMIFS(RAB!$F$14:$F$72,RAB!$C$14:$C$72,C1220)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SUMIFS(RAB!$F$14:$F$72,RAB!$C$14:$C$72,C1221)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SUMIFS(RAB!$F$14:$F$72,RAB!$C$14:$C$72,C1222)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SUMIFS(RAB!$F$14:$F$72,RAB!$C$14:$C$72,C1223)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SUMIFS(RAB!$F$14:$F$72,RAB!$C$14:$C$72,C1224)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SUMIFS(RAB!$F$14:$F$72,RAB!$C$14:$C$72,C1225)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SUMIFS(RAB!$F$14:$F$72,RAB!$C$14:$C$72,C1226)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SUMIFS(RAB!$F$14:$F$72,RAB!$C$14:$C$72,C1227)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SUMIFS(RAB!$F$14:$F$72,RAB!$C$14:$C$72,C1228)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SUMIFS(RAB!$F$14:$F$72,RAB!$C$14:$C$72,C1229)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SUMIFS(RAB!$F$14:$F$72,RAB!$C$14:$C$72,C1230)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SUMIFS(RAB!$F$14:$F$72,RAB!$C$14:$C$72,C1231)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SUMIFS(RAB!$F$14:$F$72,RAB!$C$14:$C$72,C1232)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SUMIFS(RAB!$F$14:$F$72,RAB!$C$14:$C$72,C1233)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SUMIFS(RAB!$F$14:$F$72,RAB!$C$14:$C$72,C1234)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SUMIFS(RAB!$F$14:$F$72,RAB!$C$14:$C$72,C1235)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SUMIFS(RAB!$F$14:$F$72,RAB!$C$14:$C$72,C1236)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SUMIFS(RAB!$F$14:$F$72,RAB!$C$14:$C$72,C1237)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SUMIFS(RAB!$F$14:$F$72,RAB!$C$14:$C$72,C1238)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SUMIFS(RAB!$F$14:$F$72,RAB!$C$14:$C$72,C1239)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SUMIFS(RAB!$F$14:$F$72,RAB!$C$14:$C$72,C1240)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SUMIFS(RAB!$F$14:$F$72,RAB!$C$14:$C$72,C1241)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SUMIFS(RAB!$F$14:$F$72,RAB!$C$14:$C$72,C1242)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SUMIFS(RAB!$F$14:$F$72,RAB!$C$14:$C$72,C1243)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SUMIFS(RAB!$F$14:$F$72,RAB!$C$14:$C$72,C1244)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SUMIFS(RAB!$F$14:$F$72,RAB!$C$14:$C$72,C1245)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SUMIFS(RAB!$F$14:$F$72,RAB!$C$14:$C$72,C1246)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SUMIFS(RAB!$F$14:$F$72,RAB!$C$14:$C$72,C1247)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SUMIFS(RAB!$F$14:$F$72,RAB!$C$14:$C$72,C1248)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SUMIFS(RAB!$F$14:$F$72,RAB!$C$14:$C$72,C1249)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SUMIFS(RAB!$F$14:$F$72,RAB!$C$14:$C$72,C1250)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SUMIFS(RAB!$F$14:$F$72,RAB!$C$14:$C$72,C1251)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SUMIFS(RAB!$F$14:$F$72,RAB!$C$14:$C$72,C1252)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SUMIFS(RAB!$F$14:$F$72,RAB!$C$14:$C$72,C1253)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SUMIFS(RAB!$F$14:$F$72,RAB!$C$14:$C$72,C1254)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SUMIFS(RAB!$F$14:$F$72,RAB!$C$14:$C$72,C1255)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SUMIFS(RAB!$F$14:$F$72,RAB!$C$14:$C$72,C1256)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SUMIFS(RAB!$F$14:$F$72,RAB!$C$14:$C$72,C1257)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SUMIFS(RAB!$F$14:$F$72,RAB!$C$14:$C$72,C1258)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SUMIFS(RAB!$F$14:$F$72,RAB!$C$14:$C$72,C1259)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SUMIFS(RAB!$F$14:$F$72,RAB!$C$14:$C$72,C1260)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SUMIFS(RAB!$F$14:$F$72,RAB!$C$14:$C$72,C1261)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SUMIFS(RAB!$F$14:$F$72,RAB!$C$14:$C$72,C1262)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SUMIFS(RAB!$F$14:$F$72,RAB!$C$14:$C$72,C1263)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SUMIFS(RAB!$F$14:$F$72,RAB!$C$14:$C$72,C1264)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SUMIFS(RAB!$F$14:$F$72,RAB!$C$14:$C$72,C1265)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SUMIFS(RAB!$F$14:$F$72,RAB!$C$14:$C$72,C1266)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SUMIFS(RAB!$F$14:$F$72,RAB!$C$14:$C$72,C1267)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SUMIFS(RAB!$F$14:$F$72,RAB!$C$14:$C$72,C1268)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SUMIFS(RAB!$F$14:$F$72,RAB!$C$14:$C$72,C1269)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SUMIFS(RAB!$F$14:$F$72,RAB!$C$14:$C$72,C1270)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SUMIFS(RAB!$F$14:$F$72,RAB!$C$14:$C$72,C1271)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SUMIFS(RAB!$F$14:$F$72,RAB!$C$14:$C$72,C1272)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SUMIFS(RAB!$F$14:$F$72,RAB!$C$14:$C$72,C1273)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SUMIFS(RAB!$F$14:$F$72,RAB!$C$14:$C$72,C1274)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SUMIFS(RAB!$F$14:$F$72,RAB!$C$14:$C$72,C1275)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SUMIFS(RAB!$F$14:$F$72,RAB!$C$14:$C$72,C1276)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SUMIFS(RAB!$F$14:$F$72,RAB!$C$14:$C$72,C1277)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SUMIFS(RAB!$F$14:$F$72,RAB!$C$14:$C$72,C1278)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SUMIFS(RAB!$F$14:$F$72,RAB!$C$14:$C$72,C1279)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SUMIFS(RAB!$F$14:$F$72,RAB!$C$14:$C$72,C1280)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SUMIFS(RAB!$F$14:$F$72,RAB!$C$14:$C$72,C1281)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SUMIFS(RAB!$F$14:$F$72,RAB!$C$14:$C$72,C1282)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SUMIFS(RAB!$F$14:$F$72,RAB!$C$14:$C$72,C1283)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SUMIFS(RAB!$F$14:$F$72,RAB!$C$14:$C$72,C1284)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SUMIFS(RAB!$F$14:$F$72,RAB!$C$14:$C$72,C1285)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SUMIFS(RAB!$F$14:$F$72,RAB!$C$14:$C$72,C1286)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SUMIFS(RAB!$F$14:$F$72,RAB!$C$14:$C$72,C1287)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SUMIFS(RAB!$F$14:$F$72,RAB!$C$14:$C$72,C1288)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SUMIFS(RAB!$F$14:$F$72,RAB!$C$14:$C$72,C1289)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SUMIFS(RAB!$F$14:$F$72,RAB!$C$14:$C$72,C1290)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SUMIFS(RAB!$F$14:$F$72,RAB!$C$14:$C$72,C1291)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SUMIFS(RAB!$F$14:$F$72,RAB!$C$14:$C$72,C1292)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SUMIFS(RAB!$F$14:$F$72,RAB!$C$14:$C$72,C1293)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SUMIFS(RAB!$F$14:$F$72,RAB!$C$14:$C$72,C1294)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SUMIFS(RAB!$F$14:$F$72,RAB!$C$14:$C$72,C1295)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SUMIFS(RAB!$F$14:$F$72,RAB!$C$14:$C$72,C1296)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SUMIFS(RAB!$F$14:$F$72,RAB!$C$14:$C$72,C1297)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SUMIFS(RAB!$F$14:$F$72,RAB!$C$14:$C$72,C1298)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SUMIFS(RAB!$F$14:$F$72,RAB!$C$14:$C$72,C1299)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SUMIFS(RAB!$F$14:$F$72,RAB!$C$14:$C$72,C1300)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SUMIFS(RAB!$F$14:$F$72,RAB!$C$14:$C$72,C1301)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SUMIFS(RAB!$F$14:$F$72,RAB!$C$14:$C$72,C1302)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SUMIFS(RAB!$F$14:$F$72,RAB!$C$14:$C$72,C1303)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SUMIFS(RAB!$F$14:$F$72,RAB!$C$14:$C$72,C1304)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SUMIFS(RAB!$F$14:$F$72,RAB!$C$14:$C$72,C1305)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SUMIFS(RAB!$F$14:$F$72,RAB!$C$14:$C$72,C1306)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SUMIFS(RAB!$F$14:$F$72,RAB!$C$14:$C$72,C1307)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SUMIFS(RAB!$F$14:$F$72,RAB!$C$14:$C$72,C1308)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SUMIFS(RAB!$F$14:$F$72,RAB!$C$14:$C$72,C1309)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SUMIFS(RAB!$F$14:$F$72,RAB!$C$14:$C$72,C1310)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SUMIFS(RAB!$F$14:$F$72,RAB!$C$14:$C$72,C1311)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SUMIFS(RAB!$F$14:$F$72,RAB!$C$14:$C$72,C1312)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SUMIFS(RAB!$F$14:$F$72,RAB!$C$14:$C$72,C1313)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SUMIFS(RAB!$F$14:$F$72,RAB!$C$14:$C$72,C1314)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SUMIFS(RAB!$F$14:$F$72,RAB!$C$14:$C$72,C1315)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SUMIFS(RAB!$F$14:$F$72,RAB!$C$14:$C$72,C1316)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SUMIFS(RAB!$F$14:$F$72,RAB!$C$14:$C$72,C1317)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SUMIFS(RAB!$F$14:$F$72,RAB!$C$14:$C$72,C1318)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SUMIFS(RAB!$F$14:$F$72,RAB!$C$14:$C$72,C1319)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SUMIFS(RAB!$F$14:$F$72,RAB!$C$14:$C$72,C1320)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7" priority="5" operator="equal">
      <formula>0</formula>
    </cfRule>
  </conditionalFormatting>
  <conditionalFormatting sqref="A10:L65536">
    <cfRule type="cellIs" dxfId="46" priority="1" operator="equal">
      <formula>0</formula>
    </cfRule>
  </conditionalFormatting>
  <conditionalFormatting sqref="C12:C711">
    <cfRule type="cellIs" dxfId="45" priority="66" stopIfTrue="1" operator="equal">
      <formula>0</formula>
    </cfRule>
  </conditionalFormatting>
  <conditionalFormatting sqref="E712:E65536">
    <cfRule type="cellIs" dxfId="44" priority="16" stopIfTrue="1" operator="equal">
      <formula>0</formula>
    </cfRule>
  </conditionalFormatting>
  <conditionalFormatting sqref="G1:G11 E6:E11 E1:E3 H7 H10:H11 F10:F711 G712:G65536">
    <cfRule type="cellIs" dxfId="43" priority="69" stopIfTrue="1" operator="equal">
      <formula>0</formula>
    </cfRule>
  </conditionalFormatting>
  <conditionalFormatting sqref="G12:H711">
    <cfRule type="cellIs" dxfId="42" priority="12" stopIfTrue="1" operator="equal">
      <formula>0</formula>
    </cfRule>
  </conditionalFormatting>
  <conditionalFormatting sqref="I7:K7">
    <cfRule type="cellIs" dxfId="41" priority="4" stopIfTrue="1" operator="equal">
      <formula>0</formula>
    </cfRule>
  </conditionalFormatting>
  <conditionalFormatting sqref="I10:L711">
    <cfRule type="cellIs" dxfId="40" priority="2" stopIfTrue="1" operator="equal">
      <formula>0</formula>
    </cfRule>
  </conditionalFormatting>
  <conditionalFormatting sqref="L1:L6">
    <cfRule type="cellIs" dxfId="39" priority="10" operator="equal">
      <formula>0</formula>
    </cfRule>
  </conditionalFormatting>
  <conditionalFormatting sqref="M1:IV1048576 A8:G9">
    <cfRule type="cellIs" dxfId="3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5" t="s">
        <v>1127</v>
      </c>
      <c r="C4" s="525"/>
      <c r="D4" s="525"/>
      <c r="E4" s="525"/>
      <c r="F4" s="525"/>
      <c r="G4" s="525"/>
      <c r="H4" s="525"/>
      <c r="I4" s="525"/>
      <c r="J4" s="525"/>
      <c r="K4" s="52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9" t="str">
        <f>RAB!G6</f>
        <v>KOS UCIT LUSIATI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STASIUN BINTORO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6" t="s">
        <v>0</v>
      </c>
      <c r="C11" s="528" t="s">
        <v>1</v>
      </c>
      <c r="D11" s="531" t="s">
        <v>42</v>
      </c>
      <c r="E11" s="531" t="s">
        <v>43</v>
      </c>
      <c r="F11" s="531" t="s">
        <v>2</v>
      </c>
      <c r="G11" s="533" t="s">
        <v>41</v>
      </c>
      <c r="H11" s="531" t="s">
        <v>3</v>
      </c>
      <c r="I11" s="531"/>
      <c r="J11" s="531"/>
      <c r="K11" s="536"/>
      <c r="M11" s="33"/>
      <c r="N11" s="33"/>
      <c r="O11" s="33"/>
      <c r="P11" s="33"/>
      <c r="R11" s="34"/>
      <c r="S11" s="74"/>
      <c r="T11" s="74"/>
    </row>
    <row r="12" spans="1:21" ht="15" customHeight="1">
      <c r="B12" s="527"/>
      <c r="C12" s="529"/>
      <c r="D12" s="532"/>
      <c r="E12" s="532"/>
      <c r="F12" s="532"/>
      <c r="G12" s="534"/>
      <c r="H12" s="540" t="s">
        <v>46</v>
      </c>
      <c r="I12" s="540" t="s">
        <v>5</v>
      </c>
      <c r="J12" s="532" t="s">
        <v>47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7"/>
      <c r="C13" s="530"/>
      <c r="D13" s="532"/>
      <c r="E13" s="532"/>
      <c r="F13" s="532"/>
      <c r="G13" s="535"/>
      <c r="H13" s="541"/>
      <c r="I13" s="541"/>
      <c r="J13" s="532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4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13530400</v>
      </c>
      <c r="J16" s="42">
        <f t="shared" ca="1" si="3"/>
        <v>0</v>
      </c>
      <c r="K16" s="43">
        <f t="shared" ca="1" si="0"/>
        <v>13530400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0" t="s">
        <v>1008</v>
      </c>
      <c r="D38" s="550"/>
      <c r="E38" s="550"/>
      <c r="F38" s="550"/>
      <c r="G38" s="77" t="s">
        <v>9</v>
      </c>
      <c r="H38" s="55">
        <f ca="1">SUM(H14:H37)</f>
        <v>0</v>
      </c>
      <c r="I38" s="55">
        <f ca="1">SUM(I14:I37)</f>
        <v>13530400</v>
      </c>
      <c r="J38" s="55">
        <f ca="1">SUM(J14:J37)</f>
        <v>0</v>
      </c>
      <c r="K38" s="55">
        <f ca="1">SUM(K14:K37)</f>
        <v>13530400</v>
      </c>
      <c r="L38" s="44"/>
      <c r="R38" s="99"/>
      <c r="S38" s="99"/>
      <c r="T38" s="99"/>
    </row>
    <row r="39" spans="1:20" s="36" customFormat="1">
      <c r="A39" s="30"/>
      <c r="B39" s="56"/>
      <c r="C39" s="551" t="s">
        <v>462</v>
      </c>
      <c r="D39" s="551"/>
      <c r="E39" s="551"/>
      <c r="F39" s="551"/>
      <c r="G39" s="59" t="s">
        <v>9</v>
      </c>
      <c r="H39" s="60">
        <f ca="1">H38*0.1</f>
        <v>0</v>
      </c>
      <c r="I39" s="60">
        <f ca="1">I38*0.1</f>
        <v>1353040</v>
      </c>
      <c r="J39" s="60">
        <f ca="1">J38*0.1</f>
        <v>0</v>
      </c>
      <c r="K39" s="60">
        <f ca="1">K38*0.1</f>
        <v>1353040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2" t="s">
        <v>463</v>
      </c>
      <c r="D40" s="542"/>
      <c r="E40" s="542"/>
      <c r="F40" s="542"/>
      <c r="G40" s="61" t="s">
        <v>9</v>
      </c>
      <c r="H40" s="78">
        <f ca="1">SUM(H38:H39)</f>
        <v>0</v>
      </c>
      <c r="I40" s="78">
        <f ca="1">SUM(I38:I39)</f>
        <v>14883440</v>
      </c>
      <c r="J40" s="61">
        <f ca="1">SUM(J38:J39)</f>
        <v>0</v>
      </c>
      <c r="K40" s="61">
        <f ca="1">SUM(K38:K39)</f>
        <v>14883440</v>
      </c>
      <c r="L40" s="44"/>
      <c r="R40" s="99"/>
      <c r="S40" s="99"/>
      <c r="T40" s="99"/>
    </row>
    <row r="41" spans="1:20" s="36" customFormat="1">
      <c r="A41" s="30"/>
      <c r="B41" s="543" t="e">
        <f ca="1">"Terbilang : ( "&amp;L42&amp;" Rupiah )"</f>
        <v>#NAME?</v>
      </c>
      <c r="C41" s="544"/>
      <c r="D41" s="544"/>
      <c r="E41" s="544"/>
      <c r="F41" s="544"/>
      <c r="G41" s="544"/>
      <c r="H41" s="544"/>
      <c r="I41" s="544"/>
      <c r="J41" s="544"/>
      <c r="K41" s="545"/>
      <c r="L41" s="44"/>
      <c r="R41" s="58"/>
      <c r="S41" s="58"/>
      <c r="T41" s="58"/>
    </row>
    <row r="42" spans="1:20" s="36" customFormat="1">
      <c r="A42" s="30"/>
      <c r="B42" s="546"/>
      <c r="C42" s="547"/>
      <c r="D42" s="547"/>
      <c r="E42" s="547"/>
      <c r="F42" s="547"/>
      <c r="G42" s="547"/>
      <c r="H42" s="547"/>
      <c r="I42" s="547"/>
      <c r="J42" s="547"/>
      <c r="K42" s="548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7"/>
      <c r="I45" s="537"/>
      <c r="J45" s="538"/>
      <c r="K45" s="538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7"/>
      <c r="I46" s="537"/>
      <c r="J46" s="538"/>
      <c r="K46" s="538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7"/>
      <c r="I47" s="537"/>
      <c r="J47" s="538"/>
      <c r="K47" s="538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7"/>
      <c r="I52" s="537"/>
      <c r="J52" s="538"/>
      <c r="K52" s="538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SUMIFS(RAB!$F$14:$F$72,RAB!$C$14:$C$72,'REKAP TIANG'!C57)</f>
        <v>4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SUMIFS(RAB!$F$14:$F$72,RAB!$C$14:$C$72,'REKAP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SUMIFS(RAB!$F$14:$F$72,RAB!$C$14:$C$72,'REKAP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SUMIFS(RAB!$F$14:$F$72,RAB!$C$14:$C$72,'REKAP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SUMIFS(RAB!$F$14:$F$72,RAB!$C$14:$C$72,'REKAP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SUMIFS(RAB!$F$14:$F$72,RAB!$C$14:$C$72,'REKAP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SUMIFS(RAB!$F$14:$F$72,RAB!$C$14:$C$72,'REKAP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SUMIFS(RAB!$F$14:$F$72,RAB!$C$14:$C$72,'REKAP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SUMIFS(RAB!$F$14:$F$72,RAB!$C$14:$C$72,'REKAP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SUMIFS(RAB!$F$14:$F$72,RAB!$C$14:$C$72,'REKAP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SUMIFS(RAB!$F$14:$F$72,RAB!$C$14:$C$72,'REKAP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SUMIFS(RAB!$F$14:$F$72,RAB!$C$14:$C$72,'REKAP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SUMIFS(RAB!$F$14:$F$72,RAB!$C$14:$C$72,'REKAP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SUMIFS(RAB!$F$14:$F$72,RAB!$C$14:$C$72,'REKAP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SUMIFS(RAB!$F$14:$F$72,RAB!$C$14:$C$72,'REKAP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SUMIFS(RAB!$F$14:$F$72,RAB!$C$14:$C$72,'REKAP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SUMIFS(RAB!$F$14:$F$72,RAB!$C$14:$C$72,'REKAP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SUMIFS(RAB!$F$14:$F$72,RAB!$C$14:$C$72,'REKAP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SUMIFS(RAB!$F$14:$F$72,RAB!$C$14:$C$72,'REKAP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SUMIFS(RAB!$F$14:$F$72,RAB!$C$14:$C$72,'REKAP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5" t="s">
        <v>1034</v>
      </c>
      <c r="C4" s="525"/>
      <c r="D4" s="525"/>
      <c r="E4" s="525"/>
      <c r="F4" s="525"/>
      <c r="G4" s="525"/>
      <c r="H4" s="525"/>
      <c r="I4" s="525"/>
      <c r="J4" s="525"/>
      <c r="K4" s="52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9" t="str">
        <f>RAB!G6</f>
        <v>KOS UCIT LUSIATI</v>
      </c>
      <c r="H6" s="549"/>
      <c r="I6" s="549"/>
      <c r="J6" s="549"/>
      <c r="K6" s="54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 STASIUN BINTORO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6" t="s">
        <v>0</v>
      </c>
      <c r="C11" s="528" t="s">
        <v>1</v>
      </c>
      <c r="D11" s="531" t="s">
        <v>42</v>
      </c>
      <c r="E11" s="531" t="s">
        <v>43</v>
      </c>
      <c r="F11" s="531" t="s">
        <v>2</v>
      </c>
      <c r="G11" s="533" t="s">
        <v>41</v>
      </c>
      <c r="H11" s="531" t="s">
        <v>3</v>
      </c>
      <c r="I11" s="531"/>
      <c r="J11" s="531"/>
      <c r="K11" s="536"/>
      <c r="M11" s="33"/>
      <c r="N11" s="33"/>
      <c r="O11" s="33"/>
      <c r="P11" s="33"/>
      <c r="R11" s="34"/>
      <c r="S11" s="74"/>
      <c r="T11" s="74"/>
    </row>
    <row r="12" spans="1:21" ht="15" customHeight="1">
      <c r="B12" s="527"/>
      <c r="C12" s="529"/>
      <c r="D12" s="532"/>
      <c r="E12" s="532"/>
      <c r="F12" s="532"/>
      <c r="G12" s="534"/>
      <c r="H12" s="540" t="s">
        <v>46</v>
      </c>
      <c r="I12" s="540" t="s">
        <v>5</v>
      </c>
      <c r="J12" s="532" t="s">
        <v>47</v>
      </c>
      <c r="K12" s="539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27"/>
      <c r="C13" s="530"/>
      <c r="D13" s="532"/>
      <c r="E13" s="532"/>
      <c r="F13" s="532"/>
      <c r="G13" s="535"/>
      <c r="H13" s="541"/>
      <c r="I13" s="541"/>
      <c r="J13" s="532"/>
      <c r="K13" s="539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9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2948400</v>
      </c>
      <c r="I16" s="42">
        <f t="shared" ca="1" si="2"/>
        <v>0</v>
      </c>
      <c r="J16" s="42">
        <f t="shared" ca="1" si="3"/>
        <v>0</v>
      </c>
      <c r="K16" s="43">
        <f t="shared" ca="1" si="0"/>
        <v>2948400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6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9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351000</v>
      </c>
      <c r="I17" s="42">
        <f t="shared" ca="1" si="2"/>
        <v>0</v>
      </c>
      <c r="J17" s="42">
        <f t="shared" ca="1" si="3"/>
        <v>0</v>
      </c>
      <c r="K17" s="43">
        <f t="shared" ca="1" si="0"/>
        <v>351000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3x35+1x35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120</v>
      </c>
      <c r="G18" s="41">
        <f ca="1">IF(ISERROR(OFFSET('HARGA SATUAN'!$I$6,MATCH(C18,'HARGA SATUAN'!$C$7:$C$1492,0),0)),"",OFFSET('HARGA SATUAN'!$I$6,MATCH(C18,'HARGA SATUAN'!$C$7:$C$1492,0),0))</f>
        <v>30400</v>
      </c>
      <c r="H18" s="42">
        <f t="shared" ca="1" si="1"/>
        <v>3648000</v>
      </c>
      <c r="I18" s="42">
        <f t="shared" ca="1" si="2"/>
        <v>0</v>
      </c>
      <c r="J18" s="42">
        <f t="shared" ca="1" si="3"/>
        <v>0</v>
      </c>
      <c r="K18" s="43">
        <f t="shared" ca="1" si="0"/>
        <v>3648000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2 x 10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315</v>
      </c>
      <c r="G19" s="41">
        <f ca="1">IF(ISERROR(OFFSET('HARGA SATUAN'!$I$6,MATCH(C19,'HARGA SATUAN'!$C$7:$C$1492,0),0)),"",OFFSET('HARGA SATUAN'!$I$6,MATCH(C19,'HARGA SATUAN'!$C$7:$C$1492,0),0))</f>
        <v>4300</v>
      </c>
      <c r="H19" s="42">
        <f t="shared" ca="1" si="1"/>
        <v>1354500</v>
      </c>
      <c r="I19" s="42">
        <f t="shared" ca="1" si="2"/>
        <v>0</v>
      </c>
      <c r="J19" s="42">
        <f t="shared" ca="1" si="3"/>
        <v>0</v>
      </c>
      <c r="K19" s="43">
        <f t="shared" ca="1" si="0"/>
        <v>1354500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0" t="s">
        <v>1008</v>
      </c>
      <c r="D168" s="550"/>
      <c r="E168" s="550"/>
      <c r="F168" s="550"/>
      <c r="G168" s="77" t="s">
        <v>9</v>
      </c>
      <c r="H168" s="55">
        <f ca="1">SUM(H14:H167)</f>
        <v>8301900</v>
      </c>
      <c r="I168" s="55">
        <f ca="1">SUM(I14:I167)</f>
        <v>0</v>
      </c>
      <c r="J168" s="55">
        <f ca="1">SUM(J14:J167)</f>
        <v>0</v>
      </c>
      <c r="K168" s="55">
        <f ca="1">SUM(K14:K167)</f>
        <v>8301900</v>
      </c>
      <c r="L168" s="44"/>
      <c r="R168" s="99"/>
      <c r="S168" s="99"/>
      <c r="T168" s="99"/>
    </row>
    <row r="169" spans="1:20" s="36" customFormat="1">
      <c r="A169" s="30"/>
      <c r="B169" s="56"/>
      <c r="C169" s="551" t="s">
        <v>462</v>
      </c>
      <c r="D169" s="551"/>
      <c r="E169" s="551"/>
      <c r="F169" s="551"/>
      <c r="G169" s="59" t="s">
        <v>9</v>
      </c>
      <c r="H169" s="60">
        <f ca="1">H168*0.1</f>
        <v>830190</v>
      </c>
      <c r="I169" s="60">
        <f ca="1">I168*0.1</f>
        <v>0</v>
      </c>
      <c r="J169" s="60">
        <f ca="1">J168*0.1</f>
        <v>0</v>
      </c>
      <c r="K169" s="60">
        <f ca="1">K168*0.1</f>
        <v>830190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2" t="s">
        <v>463</v>
      </c>
      <c r="D170" s="542"/>
      <c r="E170" s="542"/>
      <c r="F170" s="542"/>
      <c r="G170" s="61" t="s">
        <v>9</v>
      </c>
      <c r="H170" s="78">
        <f ca="1">SUM(H168:H169)</f>
        <v>9132090</v>
      </c>
      <c r="I170" s="78">
        <f ca="1">SUM(I168:I169)</f>
        <v>0</v>
      </c>
      <c r="J170" s="61">
        <f ca="1">SUM(J168:J169)</f>
        <v>0</v>
      </c>
      <c r="K170" s="61">
        <f ca="1">SUM(K168:K169)</f>
        <v>9132090</v>
      </c>
      <c r="L170" s="44"/>
      <c r="R170" s="99"/>
      <c r="S170" s="99"/>
      <c r="T170" s="99"/>
    </row>
    <row r="171" spans="1:20" s="36" customFormat="1">
      <c r="A171" s="30"/>
      <c r="B171" s="543" t="e">
        <f ca="1">"Terbilang : ( "&amp;L172&amp;" Rupiah )"</f>
        <v>#NAME?</v>
      </c>
      <c r="C171" s="544"/>
      <c r="D171" s="544"/>
      <c r="E171" s="544"/>
      <c r="F171" s="544"/>
      <c r="G171" s="544"/>
      <c r="H171" s="544"/>
      <c r="I171" s="544"/>
      <c r="J171" s="544"/>
      <c r="K171" s="545"/>
      <c r="L171" s="44"/>
      <c r="R171" s="58"/>
      <c r="S171" s="58"/>
      <c r="T171" s="58"/>
    </row>
    <row r="172" spans="1:20" s="36" customFormat="1">
      <c r="A172" s="30"/>
      <c r="B172" s="546"/>
      <c r="C172" s="547"/>
      <c r="D172" s="547"/>
      <c r="E172" s="547"/>
      <c r="F172" s="547"/>
      <c r="G172" s="547"/>
      <c r="H172" s="547"/>
      <c r="I172" s="547"/>
      <c r="J172" s="547"/>
      <c r="K172" s="548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7"/>
      <c r="I175" s="537"/>
      <c r="J175" s="538"/>
      <c r="K175" s="538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7"/>
      <c r="I176" s="537"/>
      <c r="J176" s="538"/>
      <c r="K176" s="538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7"/>
      <c r="I177" s="537"/>
      <c r="J177" s="538"/>
      <c r="K177" s="538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7"/>
      <c r="I182" s="537"/>
      <c r="J182" s="538"/>
      <c r="K182" s="538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SUMIFS(RAB!$F$14:$F$72,RAB!$C$14:$C$72,C224)</f>
        <v>9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SUMIFS(RAB!$F$14:$F$72,RAB!$C$14:$C$72,C225)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SUMIFS(RAB!$F$14:$F$72,RAB!$C$14:$C$72,C226)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SUMIFS(RAB!$F$14:$F$72,RAB!$C$14:$C$72,C227)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SUMIFS(RAB!$F$14:$F$72,RAB!$C$14:$C$72,C228)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SUMIFS(RAB!$F$14:$F$72,RAB!$C$14:$C$72,C229)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SUMIFS(RAB!$F$14:$F$72,RAB!$C$14:$C$72,C230)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SUMIFS(RAB!$F$14:$F$72,RAB!$C$14:$C$72,C231)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SUMIFS(RAB!$F$14:$F$72,RAB!$C$14:$C$72,C232)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SUMIFS(RAB!$F$14:$F$72,RAB!$C$14:$C$72,C233)</f>
        <v>9</v>
      </c>
      <c r="E233" s="24">
        <f t="shared" ca="1" si="21"/>
        <v>1</v>
      </c>
      <c r="F233" s="24">
        <f ca="1">IF(D233=0,0,SUM($E$223:E233))</f>
        <v>2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SUMIFS(RAB!$F$14:$F$72,RAB!$C$14:$C$72,C234)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SUMIFS(RAB!$F$14:$F$72,RAB!$C$14:$C$72,C235)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SUMIFS(RAB!$F$14:$F$72,RAB!$C$14:$C$72,C236)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SUMIFS(RAB!$F$14:$F$72,RAB!$C$14:$C$72,C237)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SUMIFS(RAB!$F$14:$F$72,RAB!$C$14:$C$72,C238)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SUMIFS(RAB!$F$14:$F$72,RAB!$C$14:$C$72,C239)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SUMIFS(RAB!$F$14:$F$72,RAB!$C$14:$C$72,C240)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SUMIFS(RAB!$F$14:$F$72,RAB!$C$14:$C$72,C241)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SUMIFS(RAB!$F$14:$F$72,RAB!$C$14:$C$72,C242)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SUMIFS(RAB!$F$14:$F$72,RAB!$C$14:$C$72,C243)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SUMIFS(RAB!$F$14:$F$72,RAB!$C$14:$C$72,C244)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SUMIFS(RAB!$F$14:$F$72,RAB!$C$14:$C$72,C245)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SUMIFS(RAB!$F$14:$F$72,RAB!$C$14:$C$72,C246)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SUMIFS(RAB!$F$14:$F$72,RAB!$C$14:$C$72,C247)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SUMIFS(RAB!$F$14:$F$72,RAB!$C$14:$C$72,C248)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SUMIFS(RAB!$F$14:$F$72,RAB!$C$14:$C$72,C249)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SUMIFS(RAB!$F$14:$F$72,RAB!$C$14:$C$72,C250)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SUMIFS(RAB!$F$14:$F$72,RAB!$C$14:$C$72,C251)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SUMIFS(RAB!$F$14:$F$72,RAB!$C$14:$C$72,C252)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SUMIFS(RAB!$F$14:$F$72,RAB!$C$14:$C$72,C253)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SUMIFS(RAB!$F$14:$F$72,RAB!$C$14:$C$72,C254)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SUMIFS(RAB!$F$14:$F$72,RAB!$C$14:$C$72,C255)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SUMIFS(RAB!$F$14:$F$72,RAB!$C$14:$C$72,C256)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SUMIFS(RAB!$F$14:$F$72,RAB!$C$14:$C$72,C257)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SUMIFS(RAB!$F$14:$F$72,RAB!$C$14:$C$72,C258)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SUMIFS(RAB!$F$14:$F$72,RAB!$C$14:$C$72,C259)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SUMIFS(RAB!$F$14:$F$72,RAB!$C$14:$C$72,C260)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SUMIFS(RAB!$F$14:$F$72,RAB!$C$14:$C$72,C261)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SUMIFS(RAB!$F$14:$F$72,RAB!$C$14:$C$72,C262)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SUMIFS(RAB!$F$14:$F$72,RAB!$C$14:$C$72,C263)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SUMIFS(RAB!$F$14:$F$72,RAB!$C$14:$C$72,C264)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SUMIFS(RAB!$F$14:$F$72,RAB!$C$14:$C$72,C265)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SUMIFS(RAB!$F$14:$F$72,RAB!$C$14:$C$72,C266)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SUMIFS(RAB!$F$14:$F$72,RAB!$C$14:$C$72,C267)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SUMIFS(RAB!$F$14:$F$72,RAB!$C$14:$C$72,C268)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SUMIFS(RAB!$F$14:$F$72,RAB!$C$14:$C$72,C269)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SUMIFS(RAB!$F$14:$F$72,RAB!$C$14:$C$72,C270)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SUMIFS(RAB!$F$14:$F$72,RAB!$C$14:$C$72,C271)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SUMIFS(RAB!$F$14:$F$72,RAB!$C$14:$C$72,C272)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SUMIFS(RAB!$F$14:$F$72,RAB!$C$14:$C$72,C273)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SUMIFS(RAB!$F$14:$F$72,RAB!$C$14:$C$72,C274)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SUMIFS(RAB!$F$14:$F$72,RAB!$C$14:$C$72,C275)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SUMIFS(RAB!$F$14:$F$72,RAB!$C$14:$C$72,C276)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SUMIFS(RAB!$F$14:$F$72,RAB!$C$14:$C$72,C277)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SUMIFS(RAB!$F$14:$F$72,RAB!$C$14:$C$72,C278)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SUMIFS(RAB!$F$14:$F$72,RAB!$C$14:$C$72,C279)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SUMIFS(RAB!$F$14:$F$72,RAB!$C$14:$C$72,C280)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SUMIFS(RAB!$F$14:$F$72,RAB!$C$14:$C$72,C281)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SUMIFS(RAB!$F$14:$F$72,RAB!$C$14:$C$72,C282)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SUMIFS(RAB!$F$14:$F$72,RAB!$C$14:$C$72,C283)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SUMIFS(RAB!$F$14:$F$72,RAB!$C$14:$C$72,C284)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SUMIFS(RAB!$F$14:$F$72,RAB!$C$14:$C$72,C285)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SUMIFS(RAB!$F$14:$F$72,RAB!$C$14:$C$72,C286)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SUMIFS(RAB!$F$14:$F$72,RAB!$C$14:$C$72,C287)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SUMIFS(RAB!$F$14:$F$72,RAB!$C$14:$C$72,C288)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SUMIFS(RAB!$F$14:$F$72,RAB!$C$14:$C$72,C289)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SUMIFS(RAB!$F$14:$F$72,RAB!$C$14:$C$72,C290)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SUMIFS(RAB!$F$14:$F$72,RAB!$C$14:$C$72,C291)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SUMIFS(RAB!$F$14:$F$72,RAB!$C$14:$C$72,C292)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SUMIFS(RAB!$F$14:$F$72,RAB!$C$14:$C$72,C293)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SUMIFS(RAB!$F$14:$F$72,RAB!$C$14:$C$72,C294)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SUMIFS(RAB!$F$14:$F$72,RAB!$C$14:$C$72,C295)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SUMIFS(RAB!$F$14:$F$72,RAB!$C$14:$C$72,C296)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SUMIFS(RAB!$F$14:$F$72,RAB!$C$14:$C$72,C297)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SUMIFS(RAB!$F$14:$F$72,RAB!$C$14:$C$72,C298)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SUMIFS(RAB!$F$14:$F$72,RAB!$C$14:$C$72,C299)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SUMIFS(RAB!$F$14:$F$72,RAB!$C$14:$C$72,C300)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SUMIFS(RAB!$F$14:$F$72,RAB!$C$14:$C$72,C301)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SUMIFS(RAB!$F$14:$F$72,RAB!$C$14:$C$72,C302)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SUMIFS(RAB!$F$14:$F$72,RAB!$C$14:$C$72,C303)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SUMIFS(RAB!$F$14:$F$72,RAB!$C$14:$C$72,C304)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SUMIFS(RAB!$F$14:$F$72,RAB!$C$14:$C$72,C305)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SUMIFS(RAB!$F$14:$F$72,RAB!$C$14:$C$72,C306)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SUMIFS(RAB!$F$14:$F$72,RAB!$C$14:$C$72,C307)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SUMIFS(RAB!$F$14:$F$72,RAB!$C$14:$C$72,C308)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SUMIFS(RAB!$F$14:$F$72,RAB!$C$14:$C$72,C309)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SUMIFS(RAB!$F$14:$F$72,RAB!$C$14:$C$72,C310)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SUMIFS(RAB!$F$14:$F$72,RAB!$C$14:$C$72,C311)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SUMIFS(RAB!$F$14:$F$72,RAB!$C$14:$C$72,C312)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SUMIFS(RAB!$F$14:$F$72,RAB!$C$14:$C$72,C313)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SUMIFS(RAB!$F$14:$F$72,RAB!$C$14:$C$72,C314)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SUMIFS(RAB!$F$14:$F$72,RAB!$C$14:$C$72,C315)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SUMIFS(RAB!$F$14:$F$72,RAB!$C$14:$C$72,C316)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SUMIFS(RAB!$F$14:$F$72,RAB!$C$14:$C$72,C317)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SUMIFS(RAB!$F$14:$F$72,RAB!$C$14:$C$72,C318)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SUMIFS(RAB!$F$14:$F$72,RAB!$C$14:$C$72,C319)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SUMIFS(RAB!$F$14:$F$72,RAB!$C$14:$C$72,C320)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SUMIFS(RAB!$F$14:$F$72,RAB!$C$14:$C$72,C321)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SUMIFS(RAB!$F$14:$F$72,RAB!$C$14:$C$72,C322)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SUMIFS(RAB!$F$14:$F$72,RAB!$C$14:$C$72,C323)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SUMIFS(RAB!$F$14:$F$72,RAB!$C$14:$C$72,C324)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SUMIFS(RAB!$F$14:$F$72,RAB!$C$14:$C$72,C325)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SUMIFS(RAB!$F$14:$F$72,RAB!$C$14:$C$72,C326)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SUMIFS(RAB!$F$14:$F$72,RAB!$C$14:$C$72,C327)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SUMIFS(RAB!$F$14:$F$72,RAB!$C$14:$C$72,C328)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SUMIFS(RAB!$F$14:$F$72,RAB!$C$14:$C$72,C329)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SUMIFS(RAB!$F$14:$F$72,RAB!$C$14:$C$72,C330)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SUMIFS(RAB!$F$14:$F$72,RAB!$C$14:$C$72,C331)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SUMIFS(RAB!$F$14:$F$72,RAB!$C$14:$C$72,C332)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SUMIFS(RAB!$F$14:$F$72,RAB!$C$14:$C$72,C333)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SUMIFS(RAB!$F$14:$F$72,RAB!$C$14:$C$72,C334)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SUMIFS(RAB!$F$14:$F$72,RAB!$C$14:$C$72,C335)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SUMIFS(RAB!$F$14:$F$72,RAB!$C$14:$C$72,C336)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SUMIFS(RAB!$F$14:$F$72,RAB!$C$14:$C$72,C337)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SUMIFS(RAB!$F$14:$F$72,RAB!$C$14:$C$72,C338)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SUMIFS(RAB!$F$14:$F$72,RAB!$C$14:$C$72,C339)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SUMIFS(RAB!$F$14:$F$72,RAB!$C$14:$C$72,C340)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SUMIFS(RAB!$F$14:$F$72,RAB!$C$14:$C$72,C341)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SUMIFS(RAB!$F$14:$F$72,RAB!$C$14:$C$72,C342)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SUMIFS(RAB!$F$14:$F$72,RAB!$C$14:$C$72,C343)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SUMIFS(RAB!$F$14:$F$72,RAB!$C$14:$C$72,C344)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SUMIFS(RAB!$F$14:$F$72,RAB!$C$14:$C$72,C345)</f>
        <v>120</v>
      </c>
      <c r="E345" s="24">
        <f t="shared" ca="1" si="22"/>
        <v>1</v>
      </c>
      <c r="F345" s="24">
        <f ca="1">IF(D345=0,0,SUM($E$223:E345))</f>
        <v>3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SUMIFS(RAB!$F$14:$F$72,RAB!$C$14:$C$72,C346)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SUMIFS(RAB!$F$14:$F$72,RAB!$C$14:$C$72,C347)</f>
        <v>315</v>
      </c>
      <c r="E347" s="24">
        <f t="shared" ca="1" si="22"/>
        <v>1</v>
      </c>
      <c r="F347" s="24">
        <f ca="1">IF(D347=0,0,SUM($E$223:E347))</f>
        <v>4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SUMIFS(RAB!$F$14:$F$72,RAB!$C$14:$C$72,C348)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SUMIFS(RAB!$F$14:$F$72,RAB!$C$14:$C$72,C349)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SUMIFS(RAB!$F$14:$F$72,RAB!$C$14:$C$72,C350)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SUMIFS(RAB!$F$14:$F$72,RAB!$C$14:$C$72,C351)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SUMIFS(RAB!$F$14:$F$72,RAB!$C$14:$C$72,C352)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SUMIFS(RAB!$F$14:$F$72,RAB!$C$14:$C$72,C353)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SUMIFS(RAB!$F$14:$F$72,RAB!$C$14:$C$72,C354)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SUMIFS(RAB!$F$14:$F$72,RAB!$C$14:$C$72,C355)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SUMIFS(RAB!$F$14:$F$72,RAB!$C$14:$C$72,C356)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SUMIFS(RAB!$F$14:$F$72,RAB!$C$14:$C$72,C357)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SUMIFS(RAB!$F$14:$F$72,RAB!$C$14:$C$72,C358)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SUMIFS(RAB!$F$14:$F$72,RAB!$C$14:$C$72,C359)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SUMIFS(RAB!$F$14:$F$72,RAB!$C$14:$C$72,C360)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SUMIFS(RAB!$F$14:$F$72,RAB!$C$14:$C$72,C361)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SUMIFS(RAB!$F$14:$F$72,RAB!$C$14:$C$72,C362)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SUMIFS(RAB!$F$14:$F$72,RAB!$C$14:$C$72,C363)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SUMIFS(RAB!$F$14:$F$72,RAB!$C$14:$C$72,C364)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SUMIFS(RAB!$F$14:$F$72,RAB!$C$14:$C$72,C365)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SUMIFS(RAB!$F$14:$F$72,RAB!$C$14:$C$72,C366)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SUMIFS(RAB!$F$14:$F$72,RAB!$C$14:$C$72,C367)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SUMIFS(RAB!$F$14:$F$72,RAB!$C$14:$C$72,C368)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SUMIFS(RAB!$F$14:$F$72,RAB!$C$14:$C$72,C369)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SUMIFS(RAB!$F$14:$F$72,RAB!$C$14:$C$72,C370)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SUMIFS(RAB!$F$14:$F$72,RAB!$C$14:$C$72,C371)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SUMIFS(RAB!$F$14:$F$72,RAB!$C$14:$C$72,C372)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SUMIFS(RAB!$F$14:$F$72,RAB!$C$14:$C$72,C373)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5" priority="5" operator="equal">
      <formula>0</formula>
    </cfRule>
  </conditionalFormatting>
  <conditionalFormatting sqref="C16:C165">
    <cfRule type="cellIs" dxfId="34" priority="4" stopIfTrue="1" operator="equal">
      <formula>0</formula>
    </cfRule>
  </conditionalFormatting>
  <conditionalFormatting sqref="C16:E165">
    <cfRule type="cellIs" dxfId="33" priority="1" operator="equal">
      <formula>0</formula>
    </cfRule>
  </conditionalFormatting>
  <conditionalFormatting sqref="D224:F373">
    <cfRule type="cellIs" dxfId="32" priority="8" operator="equal">
      <formula>0</formula>
    </cfRule>
  </conditionalFormatting>
  <conditionalFormatting sqref="E1:E3 G1:G115 E6:E15 H12:I12 N13 F14:F15 H14:K115 E166:K166 G166:G223 E167:F167 H167:K167">
    <cfRule type="cellIs" dxfId="31" priority="43" stopIfTrue="1" operator="equal">
      <formula>0</formula>
    </cfRule>
  </conditionalFormatting>
  <conditionalFormatting sqref="E171:E65536">
    <cfRule type="cellIs" dxfId="30" priority="9" stopIfTrue="1" operator="equal">
      <formula>0</formula>
    </cfRule>
  </conditionalFormatting>
  <conditionalFormatting sqref="G224">
    <cfRule type="cellIs" dxfId="29" priority="10" operator="equal">
      <formula>0</formula>
    </cfRule>
  </conditionalFormatting>
  <conditionalFormatting sqref="G225:G65536">
    <cfRule type="cellIs" dxfId="28" priority="14" stopIfTrue="1" operator="equal">
      <formula>0</formula>
    </cfRule>
  </conditionalFormatting>
  <conditionalFormatting sqref="R14:T166 G116:K165">
    <cfRule type="cellIs" dxfId="2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8"/>
    </row>
    <row r="4" spans="4:4" ht="57" customHeight="1">
      <c r="D4" s="458">
        <v>3</v>
      </c>
    </row>
    <row r="5" spans="4:4" ht="57" customHeight="1">
      <c r="D5" s="45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02" activePane="bottomRight" state="frozen"/>
      <selection activeCell="D209" sqref="D209"/>
      <selection pane="topRight" activeCell="D209" sqref="D209"/>
      <selection pane="bottomLeft" activeCell="D209" sqref="D209"/>
      <selection pane="bottomRight" activeCell="C229" sqref="C229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3" t="s">
        <v>41</v>
      </c>
      <c r="C2" s="55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4" t="s">
        <v>23</v>
      </c>
      <c r="C4" s="555" t="s">
        <v>1012</v>
      </c>
      <c r="D4" s="555" t="s">
        <v>42</v>
      </c>
      <c r="E4" s="554" t="s">
        <v>43</v>
      </c>
      <c r="F4" s="108" t="s">
        <v>1604</v>
      </c>
      <c r="G4" s="108" t="s">
        <v>1603</v>
      </c>
      <c r="H4" s="552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4"/>
      <c r="C5" s="555"/>
      <c r="D5" s="555"/>
      <c r="E5" s="554"/>
      <c r="F5" s="93"/>
      <c r="G5" s="93"/>
      <c r="H5" s="552"/>
      <c r="I5" s="193" t="s">
        <v>1603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1547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1548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1549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1550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1551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1552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1553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1554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1555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1556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1557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1558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1559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1560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1561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1562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1563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1564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1565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1566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1567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1568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1569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1570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1571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1572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1573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1574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1575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1576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1577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1578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1579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1580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1581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1582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1583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1584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1585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1586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1587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1588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1589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1590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1591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1592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1593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1594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1595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1596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1597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1598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5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5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1599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1600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1601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1602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6">
        <v>2740</v>
      </c>
      <c r="G1433" s="486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7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7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7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7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7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6" priority="138" operator="equal">
      <formula>0</formula>
    </cfRule>
  </conditionalFormatting>
  <conditionalFormatting sqref="B8:C135">
    <cfRule type="cellIs" dxfId="25" priority="51" operator="equal">
      <formula>0</formula>
    </cfRule>
  </conditionalFormatting>
  <conditionalFormatting sqref="B150:G1493">
    <cfRule type="cellIs" dxfId="24" priority="1" operator="equal">
      <formula>0</formula>
    </cfRule>
  </conditionalFormatting>
  <conditionalFormatting sqref="C143:G149">
    <cfRule type="cellIs" dxfId="23" priority="5" operator="equal">
      <formula>0</formula>
    </cfRule>
  </conditionalFormatting>
  <conditionalFormatting sqref="D9:G142">
    <cfRule type="cellIs" dxfId="22" priority="11" operator="equal">
      <formula>0</formula>
    </cfRule>
  </conditionalFormatting>
  <conditionalFormatting sqref="D1:IV5 A1:C7 D6:K6 H1455:IV1457 H1458:XFD1485 H1486:H1493 I1486:XFD1494 A1494:H1494 A1495:XFD65536">
    <cfRule type="cellIs" dxfId="21" priority="163" operator="equal">
      <formula>0</formula>
    </cfRule>
  </conditionalFormatting>
  <conditionalFormatting sqref="D7:IV8 C136:C142 B136:B149">
    <cfRule type="cellIs" dxfId="20" priority="62" operator="equal">
      <formula>0</formula>
    </cfRule>
  </conditionalFormatting>
  <conditionalFormatting sqref="H9:H1418">
    <cfRule type="cellIs" dxfId="19" priority="129" operator="equal">
      <formula>0</formula>
    </cfRule>
  </conditionalFormatting>
  <conditionalFormatting sqref="H1419:I1454">
    <cfRule type="cellIs" dxfId="18" priority="128" operator="equal">
      <formula>0</formula>
    </cfRule>
  </conditionalFormatting>
  <conditionalFormatting sqref="I108:I1418">
    <cfRule type="cellIs" dxfId="17" priority="125" operator="equal">
      <formula>0</formula>
    </cfRule>
  </conditionalFormatting>
  <conditionalFormatting sqref="J108:IV1454">
    <cfRule type="cellIs" dxfId="16" priority="139" operator="equal">
      <formula>0</formula>
    </cfRule>
  </conditionalFormatting>
  <conditionalFormatting sqref="M6:IV6">
    <cfRule type="cellIs" dxfId="15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10" zoomScale="55" zoomScaleNormal="55" zoomScaleSheetLayoutView="85" workbookViewId="0">
      <selection activeCell="R16" sqref="R16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87" t="s">
        <v>1454</v>
      </c>
      <c r="C2" s="587"/>
      <c r="D2" s="587"/>
      <c r="E2" s="587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92" t="s">
        <v>1532</v>
      </c>
      <c r="C4" s="593"/>
      <c r="D4" s="593"/>
      <c r="E4" s="594"/>
      <c r="F4" s="440"/>
      <c r="G4" s="440"/>
      <c r="H4" s="441"/>
      <c r="I4" s="556" t="s">
        <v>1533</v>
      </c>
      <c r="J4" s="557"/>
      <c r="K4" s="557"/>
      <c r="L4" s="558"/>
    </row>
    <row r="5" spans="1:12" ht="34.5" customHeight="1">
      <c r="A5" s="204"/>
      <c r="B5" s="443" t="s">
        <v>1379</v>
      </c>
      <c r="C5" s="277" t="s">
        <v>9</v>
      </c>
      <c r="D5" s="588" t="str">
        <f>DATA!D14</f>
        <v>KOS UCIT LUSIATI</v>
      </c>
      <c r="E5" s="589"/>
      <c r="F5" s="208"/>
      <c r="G5" s="208"/>
      <c r="I5" s="444" t="s">
        <v>1379</v>
      </c>
      <c r="J5" s="277" t="s">
        <v>9</v>
      </c>
      <c r="K5" s="559" t="str">
        <f>D5</f>
        <v>KOS UCIT LUSIATI</v>
      </c>
      <c r="L5" s="560"/>
    </row>
    <row r="6" spans="1:12" ht="31.5" customHeight="1">
      <c r="A6" s="204"/>
      <c r="B6" s="443" t="s">
        <v>1529</v>
      </c>
      <c r="C6" s="277" t="s">
        <v>9</v>
      </c>
      <c r="D6" s="597">
        <f>DATA!D17*1000</f>
        <v>0</v>
      </c>
      <c r="E6" s="598"/>
      <c r="F6" s="208"/>
      <c r="G6" s="208"/>
      <c r="I6" s="444" t="s">
        <v>1530</v>
      </c>
      <c r="J6" s="277" t="s">
        <v>9</v>
      </c>
      <c r="K6" s="561">
        <f>DATA!D20*1000</f>
        <v>11700.000000000002</v>
      </c>
      <c r="L6" s="562"/>
    </row>
    <row r="7" spans="1:12" ht="30.75" customHeight="1">
      <c r="A7" s="204"/>
      <c r="B7" s="443" t="s">
        <v>1441</v>
      </c>
      <c r="C7" s="277" t="s">
        <v>9</v>
      </c>
      <c r="D7" s="595">
        <f>DATA!D18</f>
        <v>1</v>
      </c>
      <c r="E7" s="596"/>
      <c r="F7" s="442" t="s">
        <v>1453</v>
      </c>
      <c r="I7" s="444" t="s">
        <v>1441</v>
      </c>
      <c r="J7" s="277" t="s">
        <v>9</v>
      </c>
      <c r="K7" s="563">
        <f>DATA!D21</f>
        <v>3</v>
      </c>
      <c r="L7" s="564"/>
    </row>
    <row r="8" spans="1:12" ht="51" customHeight="1">
      <c r="A8" s="204"/>
      <c r="B8" s="443" t="s">
        <v>1442</v>
      </c>
      <c r="C8" s="277" t="s">
        <v>9</v>
      </c>
      <c r="D8" s="595">
        <f>DATA!D19</f>
        <v>220</v>
      </c>
      <c r="E8" s="596"/>
      <c r="F8" s="442" t="s">
        <v>1453</v>
      </c>
      <c r="G8" s="437">
        <v>220</v>
      </c>
      <c r="I8" s="444" t="s">
        <v>1442</v>
      </c>
      <c r="J8" s="277" t="s">
        <v>9</v>
      </c>
      <c r="K8" s="563">
        <f>DATA!D22</f>
        <v>380</v>
      </c>
      <c r="L8" s="564"/>
    </row>
    <row r="9" spans="1:12" ht="30" customHeight="1" thickBot="1">
      <c r="A9" s="204"/>
      <c r="B9" s="449" t="s">
        <v>1541</v>
      </c>
      <c r="C9" s="439" t="s">
        <v>9</v>
      </c>
      <c r="D9" s="590">
        <f>IF(D7=1,D6/(380/3^0.5),(D6/(380*3^0.5)))</f>
        <v>0</v>
      </c>
      <c r="E9" s="591"/>
      <c r="F9" s="207"/>
      <c r="G9" s="438">
        <v>380</v>
      </c>
      <c r="I9" s="450" t="s">
        <v>1541</v>
      </c>
      <c r="J9" s="439" t="s">
        <v>9</v>
      </c>
      <c r="K9" s="567">
        <f>IF(K7=1,K6/(380/3^0.5),(K6/(380*3^0.5)))</f>
        <v>17.77631091978585</v>
      </c>
      <c r="L9" s="568"/>
    </row>
    <row r="10" spans="1:12" ht="24.75" customHeight="1">
      <c r="B10" s="451"/>
      <c r="C10" s="448"/>
      <c r="D10" s="452"/>
      <c r="E10" s="452"/>
      <c r="F10" s="207"/>
      <c r="G10" s="438"/>
      <c r="I10" s="451"/>
      <c r="J10" s="448"/>
      <c r="K10" s="452"/>
      <c r="L10" s="452"/>
    </row>
    <row r="11" spans="1:12" ht="16.5" thickBot="1">
      <c r="B11" s="445" t="s">
        <v>1542</v>
      </c>
      <c r="I11" s="445" t="s">
        <v>1536</v>
      </c>
    </row>
    <row r="12" spans="1:12" ht="34.5" customHeight="1">
      <c r="A12" s="204"/>
      <c r="B12" s="473" t="s">
        <v>1534</v>
      </c>
      <c r="C12" s="467" t="s">
        <v>9</v>
      </c>
      <c r="D12" s="599" t="s">
        <v>1620</v>
      </c>
      <c r="E12" s="600"/>
      <c r="F12" s="208"/>
      <c r="G12" s="208"/>
      <c r="I12" s="466" t="s">
        <v>1534</v>
      </c>
      <c r="J12" s="467" t="s">
        <v>9</v>
      </c>
      <c r="K12" s="599" t="s">
        <v>1620</v>
      </c>
      <c r="L12" s="600"/>
    </row>
    <row r="13" spans="1:12" ht="31.5" customHeight="1">
      <c r="A13" s="204"/>
      <c r="B13" s="474" t="s">
        <v>1380</v>
      </c>
      <c r="C13" s="454" t="s">
        <v>9</v>
      </c>
      <c r="D13" s="565" t="s">
        <v>1621</v>
      </c>
      <c r="E13" s="566"/>
      <c r="F13" s="208"/>
      <c r="G13" s="208"/>
      <c r="I13" s="468" t="s">
        <v>1380</v>
      </c>
      <c r="J13" s="454" t="s">
        <v>9</v>
      </c>
      <c r="K13" s="565" t="s">
        <v>1621</v>
      </c>
      <c r="L13" s="566"/>
    </row>
    <row r="14" spans="1:12" ht="30.75" customHeight="1">
      <c r="A14" s="204"/>
      <c r="B14" s="474" t="s">
        <v>1535</v>
      </c>
      <c r="C14" s="454" t="s">
        <v>9</v>
      </c>
      <c r="D14" s="569">
        <v>50</v>
      </c>
      <c r="E14" s="570"/>
      <c r="F14" s="442" t="s">
        <v>1453</v>
      </c>
      <c r="G14" s="446">
        <v>50</v>
      </c>
      <c r="I14" s="468" t="s">
        <v>1535</v>
      </c>
      <c r="J14" s="454" t="s">
        <v>9</v>
      </c>
      <c r="K14" s="571">
        <v>50</v>
      </c>
      <c r="L14" s="572"/>
    </row>
    <row r="15" spans="1:12" ht="57" customHeight="1">
      <c r="A15" s="204"/>
      <c r="B15" s="474" t="s">
        <v>1441</v>
      </c>
      <c r="C15" s="454" t="s">
        <v>9</v>
      </c>
      <c r="D15" s="460">
        <v>1</v>
      </c>
      <c r="E15" s="469"/>
      <c r="F15" s="442" t="s">
        <v>1453</v>
      </c>
      <c r="G15" s="446">
        <v>100</v>
      </c>
      <c r="I15" s="468" t="s">
        <v>1441</v>
      </c>
      <c r="J15" s="454" t="s">
        <v>9</v>
      </c>
      <c r="K15" s="460">
        <v>1</v>
      </c>
      <c r="L15" s="469"/>
    </row>
    <row r="16" spans="1:12" ht="44.25" customHeight="1">
      <c r="A16" s="204"/>
      <c r="B16" s="474" t="s">
        <v>1545</v>
      </c>
      <c r="C16" s="454"/>
      <c r="D16" s="573">
        <f>63+10</f>
        <v>73</v>
      </c>
      <c r="E16" s="574"/>
      <c r="F16" s="442"/>
      <c r="G16" s="446">
        <v>160</v>
      </c>
      <c r="I16" s="468" t="s">
        <v>1537</v>
      </c>
      <c r="J16" s="454" t="s">
        <v>9</v>
      </c>
      <c r="K16" s="577">
        <f>K9</f>
        <v>17.77631091978585</v>
      </c>
      <c r="L16" s="578"/>
    </row>
    <row r="17" spans="1:12" ht="34.5" customHeight="1">
      <c r="A17" s="204"/>
      <c r="B17" s="474" t="s">
        <v>1538</v>
      </c>
      <c r="C17" s="454" t="s">
        <v>9</v>
      </c>
      <c r="D17" s="575">
        <f>IF(D15=1,D14/(20/3^0.5),(D14/(20*3^0.5)))</f>
        <v>4.3301270189221928</v>
      </c>
      <c r="E17" s="576"/>
      <c r="F17" s="442" t="s">
        <v>1453</v>
      </c>
      <c r="G17" s="447">
        <v>200</v>
      </c>
      <c r="I17" s="468" t="s">
        <v>1538</v>
      </c>
      <c r="J17" s="454" t="s">
        <v>9</v>
      </c>
      <c r="K17" s="581">
        <f>IF(K15=1,K14/(20/3^0.5),(K14/(20*3^0.5)))</f>
        <v>4.3301270189221928</v>
      </c>
      <c r="L17" s="582"/>
    </row>
    <row r="18" spans="1:12" ht="34.5" customHeight="1">
      <c r="A18" s="204"/>
      <c r="B18" s="474" t="s">
        <v>1539</v>
      </c>
      <c r="C18" s="454" t="s">
        <v>9</v>
      </c>
      <c r="D18" s="575">
        <f>IF(D15=1,D14/(380/3^0.5),(D14/(380*3^0.5)))*1000</f>
        <v>227.90142204853646</v>
      </c>
      <c r="E18" s="576"/>
      <c r="F18" s="442" t="s">
        <v>1453</v>
      </c>
      <c r="G18" s="447">
        <v>250</v>
      </c>
      <c r="I18" s="468" t="s">
        <v>1539</v>
      </c>
      <c r="J18" s="454" t="s">
        <v>9</v>
      </c>
      <c r="K18" s="581">
        <f>IF(K15=1,K14/(380/3^0.5),(K14/(380*3^0.5)))*1000</f>
        <v>227.90142204853646</v>
      </c>
      <c r="L18" s="582"/>
    </row>
    <row r="19" spans="1:12" ht="30" customHeight="1">
      <c r="A19" s="204"/>
      <c r="B19" s="475" t="s">
        <v>1531</v>
      </c>
      <c r="C19" s="453" t="s">
        <v>9</v>
      </c>
      <c r="D19" s="575">
        <f>IF(D15=1,D14/(380/3^0.5),(D14/(380*3^0.5)))</f>
        <v>0.22790142204853647</v>
      </c>
      <c r="E19" s="576"/>
      <c r="F19" s="207"/>
      <c r="G19" s="438"/>
      <c r="I19" s="470" t="s">
        <v>1531</v>
      </c>
      <c r="J19" s="453" t="s">
        <v>9</v>
      </c>
      <c r="K19" s="581">
        <f>IF(K15=1,K14/(380/3^0.5),(K14/(380*3^0.5)))</f>
        <v>0.22790142204853647</v>
      </c>
      <c r="L19" s="582"/>
    </row>
    <row r="20" spans="1:12" ht="30" customHeight="1" thickBot="1">
      <c r="A20" s="204"/>
      <c r="B20" s="476" t="s">
        <v>1540</v>
      </c>
      <c r="C20" s="472" t="s">
        <v>9</v>
      </c>
      <c r="D20" s="601">
        <f>D16/D18</f>
        <v>0.3203139293464044</v>
      </c>
      <c r="E20" s="602"/>
      <c r="F20" s="207"/>
      <c r="G20" s="438"/>
      <c r="I20" s="471" t="s">
        <v>1531</v>
      </c>
      <c r="J20" s="472" t="s">
        <v>9</v>
      </c>
      <c r="K20" s="579">
        <f>K16/K18</f>
        <v>7.8000000000000028E-2</v>
      </c>
      <c r="L20" s="580"/>
    </row>
    <row r="21" spans="1:12" ht="9.75" customHeight="1">
      <c r="A21" s="204"/>
      <c r="B21" s="461" t="s">
        <v>1540</v>
      </c>
      <c r="C21" s="462" t="s">
        <v>9</v>
      </c>
      <c r="D21" s="586">
        <v>1</v>
      </c>
      <c r="E21" s="586"/>
      <c r="F21" s="463"/>
      <c r="G21" s="464"/>
      <c r="H21" s="465"/>
      <c r="I21" s="461" t="s">
        <v>1531</v>
      </c>
      <c r="J21" s="462" t="s">
        <v>9</v>
      </c>
      <c r="K21" s="586">
        <v>1</v>
      </c>
      <c r="L21" s="586"/>
    </row>
    <row r="22" spans="1:12" ht="6.75" customHeight="1">
      <c r="B22" s="451"/>
      <c r="C22" s="448"/>
      <c r="D22" s="459"/>
      <c r="E22" s="459"/>
      <c r="F22" s="207"/>
      <c r="G22" s="438"/>
      <c r="J22" s="448"/>
      <c r="K22" s="459"/>
      <c r="L22" s="459"/>
    </row>
    <row r="23" spans="1:12" ht="15.75" thickBot="1"/>
    <row r="24" spans="1:12" ht="200.25" customHeight="1" thickBot="1">
      <c r="B24" s="583"/>
      <c r="C24" s="584"/>
      <c r="D24" s="584"/>
      <c r="E24" s="585"/>
      <c r="I24" s="583"/>
      <c r="J24" s="584"/>
      <c r="K24" s="584"/>
      <c r="L24" s="585"/>
    </row>
    <row r="26" spans="1:12">
      <c r="D26" s="456"/>
    </row>
    <row r="27" spans="1:12">
      <c r="D27" s="457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4" priority="5" stopIfTrue="1" operator="greaterThan">
      <formula>0.89</formula>
    </cfRule>
    <cfRule type="cellIs" dxfId="1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abSelected="1" zoomScaleNormal="100" workbookViewId="0">
      <selection activeCell="D14" sqref="D14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3"/>
      <c r="C1" s="603"/>
      <c r="D1" s="603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9">
        <v>1084.1250458865841</v>
      </c>
      <c r="F5" s="484" t="s">
        <v>1605</v>
      </c>
      <c r="K5" s="483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4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11.700000000000001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11337300.000000002</v>
      </c>
    </row>
    <row r="10" spans="2:11" ht="20.100000000000001" customHeight="1">
      <c r="B10" s="291" t="s">
        <v>1446</v>
      </c>
      <c r="C10" s="292" t="s">
        <v>9</v>
      </c>
      <c r="D10" s="298">
        <f ca="1">RAB!K78</f>
        <v>28240258.482249998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564805.16964500002</v>
      </c>
    </row>
    <row r="12" spans="2:11" ht="9" customHeight="1">
      <c r="B12" s="604"/>
      <c r="C12" s="604"/>
      <c r="D12" s="604"/>
    </row>
    <row r="13" spans="2:11" ht="15.75" customHeight="1">
      <c r="B13" s="299"/>
      <c r="C13" s="299"/>
      <c r="D13" s="299"/>
    </row>
    <row r="14" spans="2:11" ht="33.75" customHeight="1">
      <c r="B14" s="413" t="s">
        <v>1379</v>
      </c>
      <c r="C14" s="414" t="s">
        <v>9</v>
      </c>
      <c r="D14" s="419" t="s">
        <v>1634</v>
      </c>
      <c r="E14" s="300" t="s">
        <v>1453</v>
      </c>
    </row>
    <row r="15" spans="2:11" ht="20.100000000000001" customHeight="1">
      <c r="B15" s="415" t="s">
        <v>1447</v>
      </c>
      <c r="C15" s="416" t="s">
        <v>9</v>
      </c>
      <c r="D15" s="420" t="s">
        <v>1623</v>
      </c>
      <c r="E15" s="300" t="s">
        <v>1453</v>
      </c>
    </row>
    <row r="16" spans="2:11" ht="20.100000000000001" customHeight="1">
      <c r="B16" s="415" t="s">
        <v>1448</v>
      </c>
      <c r="C16" s="416" t="s">
        <v>9</v>
      </c>
      <c r="D16" s="420" t="s">
        <v>1451</v>
      </c>
      <c r="E16" s="300" t="s">
        <v>1453</v>
      </c>
    </row>
    <row r="17" spans="2:5" ht="20.100000000000001" customHeight="1">
      <c r="B17" s="415" t="s">
        <v>1449</v>
      </c>
      <c r="C17" s="416" t="s">
        <v>9</v>
      </c>
      <c r="D17" s="421">
        <v>0</v>
      </c>
      <c r="E17" s="300" t="s">
        <v>1453</v>
      </c>
    </row>
    <row r="18" spans="2:5" ht="20.100000000000001" hidden="1" customHeight="1">
      <c r="B18" s="415" t="s">
        <v>1543</v>
      </c>
      <c r="C18" s="416"/>
      <c r="D18" s="421">
        <f>IF((D17&lt;=11),1,3)</f>
        <v>1</v>
      </c>
      <c r="E18" s="300"/>
    </row>
    <row r="19" spans="2:5" ht="20.100000000000001" hidden="1" customHeight="1">
      <c r="B19" s="415" t="s">
        <v>1544</v>
      </c>
      <c r="C19" s="416"/>
      <c r="D19" s="421">
        <f>IF((D17&lt;=11),220,380)</f>
        <v>220</v>
      </c>
      <c r="E19" s="300"/>
    </row>
    <row r="20" spans="2:5" ht="20.100000000000001" customHeight="1">
      <c r="B20" s="415" t="s">
        <v>1450</v>
      </c>
      <c r="C20" s="416" t="s">
        <v>9</v>
      </c>
      <c r="D20" s="421">
        <f>9*1.3</f>
        <v>11.700000000000001</v>
      </c>
      <c r="E20" s="300" t="s">
        <v>1453</v>
      </c>
    </row>
    <row r="21" spans="2:5" ht="20.100000000000001" hidden="1" customHeight="1">
      <c r="B21" s="415" t="s">
        <v>1543</v>
      </c>
      <c r="C21" s="416"/>
      <c r="D21" s="421">
        <f>IF((D20&lt;=11),1,3)</f>
        <v>3</v>
      </c>
      <c r="E21" s="300"/>
    </row>
    <row r="22" spans="2:5" ht="20.100000000000001" hidden="1" customHeight="1">
      <c r="B22" s="415" t="s">
        <v>1544</v>
      </c>
      <c r="C22" s="416"/>
      <c r="D22" s="421">
        <f>IF((D20&lt;=11),220,380)</f>
        <v>380</v>
      </c>
      <c r="E22" s="300"/>
    </row>
    <row r="23" spans="2:5" ht="20.100000000000001" customHeight="1">
      <c r="B23" s="415" t="s">
        <v>1353</v>
      </c>
      <c r="C23" s="416" t="s">
        <v>9</v>
      </c>
      <c r="D23" s="420">
        <v>1444.7</v>
      </c>
      <c r="E23" s="300" t="s">
        <v>1453</v>
      </c>
    </row>
    <row r="24" spans="2:5" ht="20.100000000000001" customHeight="1">
      <c r="B24" s="415" t="s">
        <v>1354</v>
      </c>
      <c r="C24" s="416" t="s">
        <v>9</v>
      </c>
      <c r="D24" s="420">
        <v>1444.7</v>
      </c>
      <c r="E24" s="300" t="s">
        <v>1453</v>
      </c>
    </row>
    <row r="25" spans="2:5" ht="20.100000000000001" customHeight="1">
      <c r="B25" s="415" t="s">
        <v>1452</v>
      </c>
      <c r="C25" s="416" t="s">
        <v>9</v>
      </c>
      <c r="D25" s="421">
        <v>969</v>
      </c>
      <c r="E25" s="300" t="s">
        <v>1453</v>
      </c>
    </row>
    <row r="26" spans="2:5" ht="20.100000000000001" customHeight="1">
      <c r="B26" s="417" t="s">
        <v>1355</v>
      </c>
      <c r="C26" s="418" t="s">
        <v>9</v>
      </c>
      <c r="D26" s="422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C8" sqref="C8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1" t="s">
        <v>1357</v>
      </c>
      <c r="C3" s="611"/>
      <c r="D3" s="611"/>
      <c r="E3" s="611"/>
      <c r="F3" s="305" t="str">
        <f>DATA!D14</f>
        <v>KOS UCIT LUSIATI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5" t="s">
        <v>1349</v>
      </c>
      <c r="C5" s="605" t="s">
        <v>1358</v>
      </c>
      <c r="D5" s="610" t="s">
        <v>1359</v>
      </c>
      <c r="E5" s="610" t="s">
        <v>1360</v>
      </c>
      <c r="F5" s="605" t="s">
        <v>1361</v>
      </c>
      <c r="G5" s="605"/>
      <c r="H5" s="605"/>
      <c r="I5" s="605"/>
      <c r="J5" s="605"/>
      <c r="K5" s="605" t="s">
        <v>1362</v>
      </c>
      <c r="L5" s="605"/>
      <c r="M5" s="307"/>
      <c r="N5" s="608" t="s">
        <v>1363</v>
      </c>
      <c r="O5" s="610" t="s">
        <v>1364</v>
      </c>
      <c r="P5" s="610" t="s">
        <v>1365</v>
      </c>
      <c r="Q5" s="610" t="s">
        <v>1366</v>
      </c>
      <c r="R5" s="308"/>
      <c r="S5" s="309"/>
      <c r="T5" s="606" t="s">
        <v>1367</v>
      </c>
      <c r="U5" s="310"/>
    </row>
    <row r="6" spans="1:21" ht="20.100000000000001" customHeight="1">
      <c r="B6" s="605"/>
      <c r="C6" s="605"/>
      <c r="D6" s="605"/>
      <c r="E6" s="605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9"/>
      <c r="O6" s="605"/>
      <c r="P6" s="605"/>
      <c r="Q6" s="605"/>
      <c r="R6" s="308"/>
      <c r="S6" s="309"/>
      <c r="T6" s="605"/>
      <c r="U6" s="312"/>
    </row>
    <row r="7" spans="1:21" ht="20.100000000000001" customHeight="1">
      <c r="A7" s="313">
        <v>0</v>
      </c>
      <c r="B7" s="314">
        <v>2023</v>
      </c>
      <c r="C7" s="477">
        <f>DATA!D8*DATA!D26*1</f>
        <v>468.00000000000006</v>
      </c>
      <c r="D7" s="316">
        <f>C7*4/24</f>
        <v>78.000000000000014</v>
      </c>
      <c r="E7" s="316">
        <f>C7-D7</f>
        <v>390.00000000000006</v>
      </c>
      <c r="F7" s="317">
        <f ca="1">DATA!D10/1000000</f>
        <v>28.240258482249999</v>
      </c>
      <c r="G7" s="318">
        <f ca="1">DATA!$D$11/1000000</f>
        <v>0.56480516964500005</v>
      </c>
      <c r="H7" s="318">
        <f>C7*DATA!$D$5/1000000</f>
        <v>0.50737052147492145</v>
      </c>
      <c r="I7" s="318">
        <f>(C7*DATA!$D$5*DATA!$D$7)/1000000</f>
        <v>1.1415836733185731E-2</v>
      </c>
      <c r="J7" s="316">
        <f ca="1">SUM(F7:I7)</f>
        <v>29.323850010103104</v>
      </c>
      <c r="K7" s="319">
        <f>DATA!D9/1000000</f>
        <v>11.337300000000003</v>
      </c>
      <c r="L7" s="316">
        <f>((D7*DATA!$D$23)/1000000)+((E7*DATA!$D$24)/1000000)</f>
        <v>0.67611960000000004</v>
      </c>
      <c r="M7" s="316">
        <f>K7+L7</f>
        <v>12.013419600000002</v>
      </c>
      <c r="N7" s="316">
        <f ca="1">M7-J7</f>
        <v>-17.310430410103102</v>
      </c>
      <c r="O7" s="314">
        <v>1</v>
      </c>
      <c r="P7" s="316">
        <f ca="1">O7*N7</f>
        <v>-17.310430410103102</v>
      </c>
      <c r="Q7" s="316">
        <f ca="1">P7</f>
        <v>-17.310430410103102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5616.0000000000009</v>
      </c>
      <c r="D8" s="316">
        <f>C8*4/24</f>
        <v>936.00000000000011</v>
      </c>
      <c r="E8" s="316">
        <f t="shared" ref="E8:E32" si="0">C8-D8</f>
        <v>4680.0000000000009</v>
      </c>
      <c r="F8" s="314"/>
      <c r="G8" s="318">
        <f ca="1">DATA!$D$11/1000000</f>
        <v>0.56480516964500005</v>
      </c>
      <c r="H8" s="318">
        <f>C8*DATA!$D$5/1000000</f>
        <v>6.0884462576990579</v>
      </c>
      <c r="I8" s="318">
        <f>(C8*DATA!$D$5*DATA!$D$7)/1000000</f>
        <v>0.1369900407982288</v>
      </c>
      <c r="J8" s="316">
        <f t="shared" ref="J8:J32" ca="1" si="1">SUM(F8:I8)</f>
        <v>6.7902414681422867</v>
      </c>
      <c r="K8" s="321"/>
      <c r="L8" s="316">
        <f>((D8*DATA!$D$23)/1000000)+((E8*DATA!$D$24)/1000000)</f>
        <v>8.1134352000000014</v>
      </c>
      <c r="M8" s="316">
        <f t="shared" ref="M8:M32" si="2">K8+L8</f>
        <v>8.1134352000000014</v>
      </c>
      <c r="N8" s="316">
        <f ca="1">M8-J8</f>
        <v>1.3231937318577147</v>
      </c>
      <c r="O8" s="315">
        <f>1/(1+'[93]Asumsi I'!$C$3)^(KKF!A8)</f>
        <v>0.89285714285714279</v>
      </c>
      <c r="P8" s="316">
        <f ca="1">O8*N8</f>
        <v>1.1814229748729594</v>
      </c>
      <c r="Q8" s="316">
        <f ca="1">Q7+P8</f>
        <v>-16.129007435230143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5616.0000000000009</v>
      </c>
      <c r="D9" s="316">
        <f t="shared" ref="D9:D32" si="5">C9*4/24</f>
        <v>936.00000000000011</v>
      </c>
      <c r="E9" s="316">
        <f t="shared" si="0"/>
        <v>4680.0000000000009</v>
      </c>
      <c r="F9" s="314"/>
      <c r="G9" s="318">
        <f ca="1">DATA!$D$11/1000000</f>
        <v>0.56480516964500005</v>
      </c>
      <c r="H9" s="318">
        <f>C9*DATA!$D$5/1000000</f>
        <v>6.0884462576990579</v>
      </c>
      <c r="I9" s="318">
        <f>(C9*DATA!$D$5*DATA!$D$7)/1000000</f>
        <v>0.1369900407982288</v>
      </c>
      <c r="J9" s="316">
        <f t="shared" ca="1" si="1"/>
        <v>6.7902414681422867</v>
      </c>
      <c r="K9" s="316"/>
      <c r="L9" s="316">
        <f>((D9*DATA!$D$23)/1000000)+((E9*DATA!$D$24)/1000000)</f>
        <v>8.1134352000000014</v>
      </c>
      <c r="M9" s="316">
        <f t="shared" si="2"/>
        <v>8.1134352000000014</v>
      </c>
      <c r="N9" s="316">
        <f t="shared" ref="N9:N32" ca="1" si="6">M9-J9</f>
        <v>1.3231937318577147</v>
      </c>
      <c r="O9" s="322">
        <f>1/(1+'[93]Asumsi I'!$C$3)^(KKF!A9)</f>
        <v>0.79719387755102034</v>
      </c>
      <c r="P9" s="316">
        <f t="shared" ref="P9:P32" ca="1" si="7">O9*N9</f>
        <v>1.0548419418508566</v>
      </c>
      <c r="Q9" s="316">
        <f ca="1">Q8+P9</f>
        <v>-15.074165493379287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5616.0000000000009</v>
      </c>
      <c r="D10" s="316">
        <f t="shared" si="5"/>
        <v>936.00000000000011</v>
      </c>
      <c r="E10" s="316">
        <f t="shared" si="0"/>
        <v>4680.0000000000009</v>
      </c>
      <c r="F10" s="314"/>
      <c r="G10" s="318">
        <f ca="1">DATA!$D$11/1000000</f>
        <v>0.56480516964500005</v>
      </c>
      <c r="H10" s="318">
        <f>C10*DATA!$D$5/1000000</f>
        <v>6.0884462576990579</v>
      </c>
      <c r="I10" s="318">
        <f>(C10*DATA!$D$5*DATA!$D$7)/1000000</f>
        <v>0.1369900407982288</v>
      </c>
      <c r="J10" s="316">
        <f t="shared" ca="1" si="1"/>
        <v>6.7902414681422867</v>
      </c>
      <c r="K10" s="314"/>
      <c r="L10" s="316">
        <f>((D10*DATA!$D$23)/1000000)+((E10*DATA!$D$24)/1000000)</f>
        <v>8.1134352000000014</v>
      </c>
      <c r="M10" s="316">
        <f t="shared" si="2"/>
        <v>8.1134352000000014</v>
      </c>
      <c r="N10" s="316">
        <f t="shared" ca="1" si="6"/>
        <v>1.3231937318577147</v>
      </c>
      <c r="O10" s="315">
        <f>1/(1+'[93]Asumsi I'!$C$3)^(KKF!A10)</f>
        <v>0.71178024781341087</v>
      </c>
      <c r="P10" s="316">
        <f t="shared" ca="1" si="7"/>
        <v>0.94182316236683616</v>
      </c>
      <c r="Q10" s="316">
        <f t="shared" ref="Q10:Q30" ca="1" si="9">Q9+P10</f>
        <v>-14.132342331012451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5616.0000000000009</v>
      </c>
      <c r="D11" s="316">
        <f t="shared" si="5"/>
        <v>936.00000000000011</v>
      </c>
      <c r="E11" s="316">
        <f t="shared" si="0"/>
        <v>4680.0000000000009</v>
      </c>
      <c r="F11" s="314"/>
      <c r="G11" s="318">
        <f ca="1">DATA!$D$11/1000000</f>
        <v>0.56480516964500005</v>
      </c>
      <c r="H11" s="318">
        <f>C11*DATA!$D$5/1000000</f>
        <v>6.0884462576990579</v>
      </c>
      <c r="I11" s="318">
        <f>(C11*DATA!$D$5*DATA!$D$7)/1000000</f>
        <v>0.1369900407982288</v>
      </c>
      <c r="J11" s="316">
        <f t="shared" ca="1" si="1"/>
        <v>6.7902414681422867</v>
      </c>
      <c r="K11" s="314"/>
      <c r="L11" s="316">
        <f>((D11*DATA!$D$23)/1000000)+((E11*DATA!$D$24)/1000000)</f>
        <v>8.1134352000000014</v>
      </c>
      <c r="M11" s="316">
        <f t="shared" si="2"/>
        <v>8.1134352000000014</v>
      </c>
      <c r="N11" s="316">
        <f t="shared" ca="1" si="6"/>
        <v>1.3231937318577147</v>
      </c>
      <c r="O11" s="315">
        <f>1/(1+'[93]Asumsi I'!$C$3)^(KKF!A11)</f>
        <v>0.63551807840483121</v>
      </c>
      <c r="P11" s="316">
        <f t="shared" ca="1" si="7"/>
        <v>0.84091353782753231</v>
      </c>
      <c r="Q11" s="316">
        <f t="shared" ca="1" si="9"/>
        <v>-13.291428793184918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5616.0000000000009</v>
      </c>
      <c r="D12" s="316">
        <f t="shared" si="5"/>
        <v>936.00000000000011</v>
      </c>
      <c r="E12" s="316">
        <f t="shared" si="0"/>
        <v>4680.0000000000009</v>
      </c>
      <c r="F12" s="314"/>
      <c r="G12" s="318">
        <f ca="1">DATA!$D$11/1000000</f>
        <v>0.56480516964500005</v>
      </c>
      <c r="H12" s="318">
        <f>C12*DATA!$D$5/1000000</f>
        <v>6.0884462576990579</v>
      </c>
      <c r="I12" s="318">
        <f>(C12*DATA!$D$5*DATA!$D$7)/1000000</f>
        <v>0.1369900407982288</v>
      </c>
      <c r="J12" s="316">
        <f t="shared" ca="1" si="1"/>
        <v>6.7902414681422867</v>
      </c>
      <c r="K12" s="314"/>
      <c r="L12" s="316">
        <f>((D12*DATA!$D$23)/1000000)+((E12*DATA!$D$24)/1000000)</f>
        <v>8.1134352000000014</v>
      </c>
      <c r="M12" s="316">
        <f t="shared" si="2"/>
        <v>8.1134352000000014</v>
      </c>
      <c r="N12" s="316">
        <f t="shared" ca="1" si="6"/>
        <v>1.3231937318577147</v>
      </c>
      <c r="O12" s="315">
        <f>1/(1+'[93]Asumsi I'!$C$3)^(KKF!A12)</f>
        <v>0.56742685571859919</v>
      </c>
      <c r="P12" s="316">
        <f t="shared" ca="1" si="7"/>
        <v>0.75081565877458234</v>
      </c>
      <c r="Q12" s="316">
        <f t="shared" ca="1" si="9"/>
        <v>-12.540613134410336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5616.0000000000009</v>
      </c>
      <c r="D13" s="316">
        <f t="shared" si="5"/>
        <v>936.00000000000011</v>
      </c>
      <c r="E13" s="316">
        <f t="shared" si="0"/>
        <v>4680.0000000000009</v>
      </c>
      <c r="F13" s="314"/>
      <c r="G13" s="318">
        <f ca="1">DATA!$D$11/1000000</f>
        <v>0.56480516964500005</v>
      </c>
      <c r="H13" s="318">
        <f>C13*DATA!$D$5/1000000</f>
        <v>6.0884462576990579</v>
      </c>
      <c r="I13" s="318">
        <f>(C13*DATA!$D$5*DATA!$D$7)/1000000</f>
        <v>0.1369900407982288</v>
      </c>
      <c r="J13" s="316">
        <f t="shared" ca="1" si="1"/>
        <v>6.7902414681422867</v>
      </c>
      <c r="K13" s="314"/>
      <c r="L13" s="316">
        <f>((D13*DATA!$D$23)/1000000)+((E13*DATA!$D$24)/1000000)</f>
        <v>8.1134352000000014</v>
      </c>
      <c r="M13" s="316">
        <f t="shared" si="2"/>
        <v>8.1134352000000014</v>
      </c>
      <c r="N13" s="316">
        <f t="shared" ca="1" si="6"/>
        <v>1.3231937318577147</v>
      </c>
      <c r="O13" s="315">
        <f>1/(1+'[93]Asumsi I'!$C$3)^(KKF!A13)</f>
        <v>0.50663112117732068</v>
      </c>
      <c r="P13" s="316">
        <f t="shared" ca="1" si="7"/>
        <v>0.67037112390587705</v>
      </c>
      <c r="Q13" s="316">
        <f t="shared" ca="1" si="9"/>
        <v>-11.870242010504459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5616.0000000000009</v>
      </c>
      <c r="D14" s="316">
        <f t="shared" si="5"/>
        <v>936.00000000000011</v>
      </c>
      <c r="E14" s="316">
        <f t="shared" si="0"/>
        <v>4680.0000000000009</v>
      </c>
      <c r="F14" s="314"/>
      <c r="G14" s="318">
        <f ca="1">DATA!$D$11/1000000</f>
        <v>0.56480516964500005</v>
      </c>
      <c r="H14" s="318">
        <f>C14*DATA!$D$5/1000000</f>
        <v>6.0884462576990579</v>
      </c>
      <c r="I14" s="318">
        <f>(C14*DATA!$D$5*DATA!$D$7)/1000000</f>
        <v>0.1369900407982288</v>
      </c>
      <c r="J14" s="316">
        <f t="shared" ca="1" si="1"/>
        <v>6.7902414681422867</v>
      </c>
      <c r="K14" s="314"/>
      <c r="L14" s="316">
        <f>((D14*DATA!$D$23)/1000000)+((E14*DATA!$D$24)/1000000)</f>
        <v>8.1134352000000014</v>
      </c>
      <c r="M14" s="316">
        <f t="shared" si="2"/>
        <v>8.1134352000000014</v>
      </c>
      <c r="N14" s="316">
        <f t="shared" ca="1" si="6"/>
        <v>1.3231937318577147</v>
      </c>
      <c r="O14" s="315">
        <f>1/(1+'[93]Asumsi I'!$C$3)^(KKF!A14)</f>
        <v>0.45234921533689343</v>
      </c>
      <c r="P14" s="316">
        <f t="shared" ca="1" si="7"/>
        <v>0.598545646344533</v>
      </c>
      <c r="Q14" s="316">
        <f t="shared" ca="1" si="9"/>
        <v>-11.271696364159926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5616.0000000000009</v>
      </c>
      <c r="D15" s="316">
        <f t="shared" si="5"/>
        <v>936.00000000000011</v>
      </c>
      <c r="E15" s="316">
        <f t="shared" si="0"/>
        <v>4680.0000000000009</v>
      </c>
      <c r="F15" s="314"/>
      <c r="G15" s="318">
        <f ca="1">DATA!$D$11/1000000</f>
        <v>0.56480516964500005</v>
      </c>
      <c r="H15" s="318">
        <f>C15*DATA!$D$5/1000000</f>
        <v>6.0884462576990579</v>
      </c>
      <c r="I15" s="318">
        <f>(C15*DATA!$D$5*DATA!$D$7)/1000000</f>
        <v>0.1369900407982288</v>
      </c>
      <c r="J15" s="316">
        <f t="shared" ca="1" si="1"/>
        <v>6.7902414681422867</v>
      </c>
      <c r="K15" s="314"/>
      <c r="L15" s="316">
        <f>((D15*DATA!$D$23)/1000000)+((E15*DATA!$D$24)/1000000)</f>
        <v>8.1134352000000014</v>
      </c>
      <c r="M15" s="316">
        <f t="shared" si="2"/>
        <v>8.1134352000000014</v>
      </c>
      <c r="N15" s="316">
        <f t="shared" ca="1" si="6"/>
        <v>1.3231937318577147</v>
      </c>
      <c r="O15" s="315">
        <f>1/(1+'[93]Asumsi I'!$C$3)^(KKF!A15)</f>
        <v>0.4038832279793691</v>
      </c>
      <c r="P15" s="316">
        <f t="shared" ca="1" si="7"/>
        <v>0.53441575566476163</v>
      </c>
      <c r="Q15" s="316">
        <f t="shared" ca="1" si="9"/>
        <v>-10.737280608495164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5616.0000000000009</v>
      </c>
      <c r="D16" s="316">
        <f t="shared" si="5"/>
        <v>936.00000000000011</v>
      </c>
      <c r="E16" s="316">
        <f t="shared" si="0"/>
        <v>4680.0000000000009</v>
      </c>
      <c r="F16" s="314"/>
      <c r="G16" s="318">
        <f ca="1">DATA!$D$11/1000000</f>
        <v>0.56480516964500005</v>
      </c>
      <c r="H16" s="318">
        <f>C16*DATA!$D$5/1000000</f>
        <v>6.0884462576990579</v>
      </c>
      <c r="I16" s="318">
        <f>(C16*DATA!$D$5*DATA!$D$7)/1000000</f>
        <v>0.1369900407982288</v>
      </c>
      <c r="J16" s="316">
        <f t="shared" ca="1" si="1"/>
        <v>6.7902414681422867</v>
      </c>
      <c r="K16" s="314"/>
      <c r="L16" s="316">
        <f>((D16*DATA!$D$23)/1000000)+((E16*DATA!$D$24)/1000000)</f>
        <v>8.1134352000000014</v>
      </c>
      <c r="M16" s="316">
        <f t="shared" si="2"/>
        <v>8.1134352000000014</v>
      </c>
      <c r="N16" s="316">
        <f t="shared" ca="1" si="6"/>
        <v>1.3231937318577147</v>
      </c>
      <c r="O16" s="315">
        <f>1/(1+'[93]Asumsi I'!$C$3)^(KKF!A16)</f>
        <v>0.36061002498157957</v>
      </c>
      <c r="P16" s="316">
        <f t="shared" ca="1" si="7"/>
        <v>0.47715692470068</v>
      </c>
      <c r="Q16" s="316">
        <f t="shared" ca="1" si="9"/>
        <v>-10.260123683794484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5616.0000000000009</v>
      </c>
      <c r="D17" s="316">
        <f t="shared" si="5"/>
        <v>936.00000000000011</v>
      </c>
      <c r="E17" s="316">
        <f t="shared" si="0"/>
        <v>4680.0000000000009</v>
      </c>
      <c r="F17" s="314"/>
      <c r="G17" s="318">
        <f ca="1">DATA!$D$11/1000000</f>
        <v>0.56480516964500005</v>
      </c>
      <c r="H17" s="318">
        <f>C17*DATA!$D$5/1000000</f>
        <v>6.0884462576990579</v>
      </c>
      <c r="I17" s="318">
        <f>(C17*DATA!$D$5*DATA!$D$7)/1000000</f>
        <v>0.1369900407982288</v>
      </c>
      <c r="J17" s="316">
        <f t="shared" ca="1" si="1"/>
        <v>6.7902414681422867</v>
      </c>
      <c r="K17" s="314"/>
      <c r="L17" s="316">
        <f>((D17*DATA!$D$23)/1000000)+((E17*DATA!$D$24)/1000000)</f>
        <v>8.1134352000000014</v>
      </c>
      <c r="M17" s="316">
        <f t="shared" si="2"/>
        <v>8.1134352000000014</v>
      </c>
      <c r="N17" s="316">
        <f t="shared" ca="1" si="6"/>
        <v>1.3231937318577147</v>
      </c>
      <c r="O17" s="315">
        <f>1/(1+'[93]Asumsi I'!$C$3)^(KKF!A17)</f>
        <v>0.32197323659069599</v>
      </c>
      <c r="P17" s="316">
        <f t="shared" ca="1" si="7"/>
        <v>0.42603296848274991</v>
      </c>
      <c r="Q17" s="316">
        <f t="shared" ca="1" si="9"/>
        <v>-9.834090715311735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5616.0000000000009</v>
      </c>
      <c r="D18" s="316">
        <f t="shared" si="5"/>
        <v>936.00000000000011</v>
      </c>
      <c r="E18" s="316">
        <f t="shared" si="0"/>
        <v>4680.0000000000009</v>
      </c>
      <c r="F18" s="314"/>
      <c r="G18" s="318">
        <f ca="1">DATA!$D$11/1000000</f>
        <v>0.56480516964500005</v>
      </c>
      <c r="H18" s="318">
        <f>C18*DATA!$D$5/1000000</f>
        <v>6.0884462576990579</v>
      </c>
      <c r="I18" s="318">
        <f>(C18*DATA!$D$5*DATA!$D$7)/1000000</f>
        <v>0.1369900407982288</v>
      </c>
      <c r="J18" s="316">
        <f t="shared" ca="1" si="1"/>
        <v>6.7902414681422867</v>
      </c>
      <c r="K18" s="314"/>
      <c r="L18" s="316">
        <f>((D18*DATA!$D$23)/1000000)+((E18*DATA!$D$24)/1000000)</f>
        <v>8.1134352000000014</v>
      </c>
      <c r="M18" s="316">
        <f t="shared" si="2"/>
        <v>8.1134352000000014</v>
      </c>
      <c r="N18" s="316">
        <f t="shared" ca="1" si="6"/>
        <v>1.3231937318577147</v>
      </c>
      <c r="O18" s="315">
        <f>1/(1+'[93]Asumsi I'!$C$3)^(KKF!A18)</f>
        <v>0.28747610409883567</v>
      </c>
      <c r="P18" s="316">
        <f t="shared" ca="1" si="7"/>
        <v>0.38038657900245526</v>
      </c>
      <c r="Q18" s="316">
        <f t="shared" ca="1" si="9"/>
        <v>-9.4537041363092804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5616.0000000000009</v>
      </c>
      <c r="D19" s="316">
        <f t="shared" si="5"/>
        <v>936.00000000000011</v>
      </c>
      <c r="E19" s="316">
        <f t="shared" si="0"/>
        <v>4680.0000000000009</v>
      </c>
      <c r="F19" s="314"/>
      <c r="G19" s="318">
        <f ca="1">DATA!$D$11/1000000</f>
        <v>0.56480516964500005</v>
      </c>
      <c r="H19" s="318">
        <f>C19*DATA!$D$5/1000000</f>
        <v>6.0884462576990579</v>
      </c>
      <c r="I19" s="318">
        <f>(C19*DATA!$D$5*DATA!$D$7)/1000000</f>
        <v>0.1369900407982288</v>
      </c>
      <c r="J19" s="316">
        <f t="shared" ca="1" si="1"/>
        <v>6.7902414681422867</v>
      </c>
      <c r="K19" s="314"/>
      <c r="L19" s="316">
        <f>((D19*DATA!$D$23)/1000000)+((E19*DATA!$D$24)/1000000)</f>
        <v>8.1134352000000014</v>
      </c>
      <c r="M19" s="316">
        <f t="shared" si="2"/>
        <v>8.1134352000000014</v>
      </c>
      <c r="N19" s="316">
        <f t="shared" ca="1" si="6"/>
        <v>1.3231937318577147</v>
      </c>
      <c r="O19" s="315">
        <f>1/(1+'[93]Asumsi I'!$C$3)^(KKF!A19)</f>
        <v>0.25667509294538904</v>
      </c>
      <c r="P19" s="316">
        <f t="shared" ca="1" si="7"/>
        <v>0.33963087410933512</v>
      </c>
      <c r="Q19" s="316">
        <f t="shared" ca="1" si="9"/>
        <v>-9.1140732621999447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5616.0000000000009</v>
      </c>
      <c r="D20" s="316">
        <f t="shared" si="5"/>
        <v>936.00000000000011</v>
      </c>
      <c r="E20" s="316">
        <f t="shared" si="0"/>
        <v>4680.0000000000009</v>
      </c>
      <c r="F20" s="314"/>
      <c r="G20" s="318">
        <f ca="1">DATA!$D$11/1000000</f>
        <v>0.56480516964500005</v>
      </c>
      <c r="H20" s="318">
        <f>C20*DATA!$D$5/1000000</f>
        <v>6.0884462576990579</v>
      </c>
      <c r="I20" s="318">
        <f>(C20*DATA!$D$5*DATA!$D$7)/1000000</f>
        <v>0.1369900407982288</v>
      </c>
      <c r="J20" s="316">
        <f t="shared" ca="1" si="1"/>
        <v>6.7902414681422867</v>
      </c>
      <c r="K20" s="314"/>
      <c r="L20" s="316">
        <f>((D20*DATA!$D$23)/1000000)+((E20*DATA!$D$24)/1000000)</f>
        <v>8.1134352000000014</v>
      </c>
      <c r="M20" s="316">
        <f t="shared" si="2"/>
        <v>8.1134352000000014</v>
      </c>
      <c r="N20" s="316">
        <f t="shared" ca="1" si="6"/>
        <v>1.3231937318577147</v>
      </c>
      <c r="O20" s="315">
        <f>1/(1+'[93]Asumsi I'!$C$3)^(KKF!A20)</f>
        <v>0.22917419012981158</v>
      </c>
      <c r="P20" s="316">
        <f t="shared" ca="1" si="7"/>
        <v>0.30324185188333486</v>
      </c>
      <c r="Q20" s="316">
        <f t="shared" ca="1" si="9"/>
        <v>-8.8108314103166094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5616.0000000000009</v>
      </c>
      <c r="D21" s="316">
        <f t="shared" si="5"/>
        <v>936.00000000000011</v>
      </c>
      <c r="E21" s="316">
        <f t="shared" si="0"/>
        <v>4680.0000000000009</v>
      </c>
      <c r="F21" s="314"/>
      <c r="G21" s="318">
        <f ca="1">DATA!$D$11/1000000</f>
        <v>0.56480516964500005</v>
      </c>
      <c r="H21" s="318">
        <f>C21*DATA!$D$5/1000000</f>
        <v>6.0884462576990579</v>
      </c>
      <c r="I21" s="318">
        <f>(C21*DATA!$D$5*DATA!$D$7)/1000000</f>
        <v>0.1369900407982288</v>
      </c>
      <c r="J21" s="316">
        <f t="shared" ca="1" si="1"/>
        <v>6.7902414681422867</v>
      </c>
      <c r="K21" s="314"/>
      <c r="L21" s="316">
        <f>((D21*DATA!$D$23)/1000000)+((E21*DATA!$D$24)/1000000)</f>
        <v>8.1134352000000014</v>
      </c>
      <c r="M21" s="316">
        <f t="shared" si="2"/>
        <v>8.1134352000000014</v>
      </c>
      <c r="N21" s="316">
        <f t="shared" ca="1" si="6"/>
        <v>1.3231937318577147</v>
      </c>
      <c r="O21" s="315">
        <f>1/(1+'[93]Asumsi I'!$C$3)^(KKF!A21)</f>
        <v>0.20461981261590317</v>
      </c>
      <c r="P21" s="316">
        <f t="shared" ca="1" si="7"/>
        <v>0.27075165346726321</v>
      </c>
      <c r="Q21" s="316">
        <f t="shared" ca="1" si="9"/>
        <v>-8.5400797568493463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5616.0000000000009</v>
      </c>
      <c r="D22" s="316">
        <f t="shared" si="5"/>
        <v>936.00000000000011</v>
      </c>
      <c r="E22" s="316">
        <f t="shared" si="0"/>
        <v>4680.0000000000009</v>
      </c>
      <c r="F22" s="314"/>
      <c r="G22" s="318">
        <f ca="1">DATA!$D$11/1000000</f>
        <v>0.56480516964500005</v>
      </c>
      <c r="H22" s="318">
        <f>C22*DATA!$D$5/1000000</f>
        <v>6.0884462576990579</v>
      </c>
      <c r="I22" s="318">
        <f>(C22*DATA!$D$5*DATA!$D$7)/1000000</f>
        <v>0.1369900407982288</v>
      </c>
      <c r="J22" s="316">
        <f t="shared" ca="1" si="1"/>
        <v>6.7902414681422867</v>
      </c>
      <c r="K22" s="314"/>
      <c r="L22" s="316">
        <f>((D22*DATA!$D$23)/1000000)+((E22*DATA!$D$24)/1000000)</f>
        <v>8.1134352000000014</v>
      </c>
      <c r="M22" s="316">
        <f t="shared" si="2"/>
        <v>8.1134352000000014</v>
      </c>
      <c r="N22" s="316">
        <f t="shared" ca="1" si="6"/>
        <v>1.3231937318577147</v>
      </c>
      <c r="O22" s="315">
        <f>1/(1+'[93]Asumsi I'!$C$3)^(KKF!A22)</f>
        <v>0.18269626126419927</v>
      </c>
      <c r="P22" s="316">
        <f t="shared" ca="1" si="7"/>
        <v>0.24174254773862788</v>
      </c>
      <c r="Q22" s="316">
        <f t="shared" ca="1" si="9"/>
        <v>-8.2983372091107181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5616.0000000000009</v>
      </c>
      <c r="D23" s="316">
        <f t="shared" si="5"/>
        <v>936.00000000000011</v>
      </c>
      <c r="E23" s="316">
        <f t="shared" si="0"/>
        <v>4680.0000000000009</v>
      </c>
      <c r="F23" s="314"/>
      <c r="G23" s="318">
        <f ca="1">DATA!$D$11/1000000</f>
        <v>0.56480516964500005</v>
      </c>
      <c r="H23" s="318">
        <f>C23*DATA!$D$5/1000000</f>
        <v>6.0884462576990579</v>
      </c>
      <c r="I23" s="318">
        <f>(C23*DATA!$D$5*DATA!$D$7)/1000000</f>
        <v>0.1369900407982288</v>
      </c>
      <c r="J23" s="316">
        <f t="shared" ca="1" si="1"/>
        <v>6.7902414681422867</v>
      </c>
      <c r="K23" s="314"/>
      <c r="L23" s="316">
        <f>((D23*DATA!$D$23)/1000000)+((E23*DATA!$D$24)/1000000)</f>
        <v>8.1134352000000014</v>
      </c>
      <c r="M23" s="316">
        <f t="shared" si="2"/>
        <v>8.1134352000000014</v>
      </c>
      <c r="N23" s="316">
        <f t="shared" ca="1" si="6"/>
        <v>1.3231937318577147</v>
      </c>
      <c r="O23" s="315">
        <f>1/(1+'[93]Asumsi I'!$C$3)^(KKF!A23)</f>
        <v>0.16312166184303503</v>
      </c>
      <c r="P23" s="316">
        <f t="shared" ca="1" si="7"/>
        <v>0.21584156048091771</v>
      </c>
      <c r="Q23" s="316">
        <f t="shared" ca="1" si="9"/>
        <v>-8.0824956486298003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5616.0000000000009</v>
      </c>
      <c r="D24" s="316">
        <f t="shared" si="5"/>
        <v>936.00000000000011</v>
      </c>
      <c r="E24" s="316">
        <f t="shared" si="0"/>
        <v>4680.0000000000009</v>
      </c>
      <c r="F24" s="314"/>
      <c r="G24" s="318">
        <f ca="1">DATA!$D$11/1000000</f>
        <v>0.56480516964500005</v>
      </c>
      <c r="H24" s="318">
        <f>C24*DATA!$D$5/1000000</f>
        <v>6.0884462576990579</v>
      </c>
      <c r="I24" s="318">
        <f>(C24*DATA!$D$5*DATA!$D$7)/1000000</f>
        <v>0.1369900407982288</v>
      </c>
      <c r="J24" s="316">
        <f t="shared" ca="1" si="1"/>
        <v>6.7902414681422867</v>
      </c>
      <c r="K24" s="314"/>
      <c r="L24" s="316">
        <f>((D24*DATA!$D$23)/1000000)+((E24*DATA!$D$24)/1000000)</f>
        <v>8.1134352000000014</v>
      </c>
      <c r="M24" s="316">
        <f t="shared" si="2"/>
        <v>8.1134352000000014</v>
      </c>
      <c r="N24" s="316">
        <f t="shared" ca="1" si="6"/>
        <v>1.3231937318577147</v>
      </c>
      <c r="O24" s="315">
        <f>1/(1+'[93]Asumsi I'!$C$3)^(KKF!A24)</f>
        <v>0.14564434093128129</v>
      </c>
      <c r="P24" s="316">
        <f t="shared" ca="1" si="7"/>
        <v>0.1927156790008194</v>
      </c>
      <c r="Q24" s="316">
        <f t="shared" ca="1" si="9"/>
        <v>-7.8897799696289805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5616.0000000000009</v>
      </c>
      <c r="D25" s="316">
        <f t="shared" si="5"/>
        <v>936.00000000000011</v>
      </c>
      <c r="E25" s="316">
        <f t="shared" si="0"/>
        <v>4680.0000000000009</v>
      </c>
      <c r="F25" s="314"/>
      <c r="G25" s="318">
        <f ca="1">DATA!$D$11/1000000</f>
        <v>0.56480516964500005</v>
      </c>
      <c r="H25" s="318">
        <f>C25*DATA!$D$5/1000000</f>
        <v>6.0884462576990579</v>
      </c>
      <c r="I25" s="318">
        <f>(C25*DATA!$D$5*DATA!$D$7)/1000000</f>
        <v>0.1369900407982288</v>
      </c>
      <c r="J25" s="316">
        <f t="shared" ca="1" si="1"/>
        <v>6.7902414681422867</v>
      </c>
      <c r="K25" s="314"/>
      <c r="L25" s="316">
        <f>((D25*DATA!$D$23)/1000000)+((E25*DATA!$D$24)/1000000)</f>
        <v>8.1134352000000014</v>
      </c>
      <c r="M25" s="316">
        <f t="shared" si="2"/>
        <v>8.1134352000000014</v>
      </c>
      <c r="N25" s="316">
        <f t="shared" ca="1" si="6"/>
        <v>1.3231937318577147</v>
      </c>
      <c r="O25" s="315">
        <f>1/(1+'[93]Asumsi I'!$C$3)^(KKF!A25)</f>
        <v>0.13003959011721541</v>
      </c>
      <c r="P25" s="316">
        <f t="shared" ca="1" si="7"/>
        <v>0.17206757053644586</v>
      </c>
      <c r="Q25" s="316">
        <f t="shared" ca="1" si="9"/>
        <v>-7.7177123990925347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5616.0000000000009</v>
      </c>
      <c r="D26" s="316">
        <f t="shared" si="5"/>
        <v>936.00000000000011</v>
      </c>
      <c r="E26" s="316">
        <f t="shared" si="0"/>
        <v>4680.0000000000009</v>
      </c>
      <c r="F26" s="314"/>
      <c r="G26" s="318">
        <f ca="1">DATA!$D$11/1000000</f>
        <v>0.56480516964500005</v>
      </c>
      <c r="H26" s="318">
        <f>C26*DATA!$D$5/1000000</f>
        <v>6.0884462576990579</v>
      </c>
      <c r="I26" s="318">
        <f>(C26*DATA!$D$5*DATA!$D$7)/1000000</f>
        <v>0.1369900407982288</v>
      </c>
      <c r="J26" s="316">
        <f t="shared" ca="1" si="1"/>
        <v>6.7902414681422867</v>
      </c>
      <c r="K26" s="314"/>
      <c r="L26" s="316">
        <f>((D26*DATA!$D$23)/1000000)+((E26*DATA!$D$24)/1000000)</f>
        <v>8.1134352000000014</v>
      </c>
      <c r="M26" s="316">
        <f t="shared" si="2"/>
        <v>8.1134352000000014</v>
      </c>
      <c r="N26" s="316">
        <f t="shared" ca="1" si="6"/>
        <v>1.3231937318577147</v>
      </c>
      <c r="O26" s="315">
        <f>1/(1+'[93]Asumsi I'!$C$3)^(KKF!A26)</f>
        <v>0.1161067768903709</v>
      </c>
      <c r="P26" s="316">
        <f t="shared" ca="1" si="7"/>
        <v>0.15363175940754092</v>
      </c>
      <c r="Q26" s="316">
        <f t="shared" ca="1" si="9"/>
        <v>-7.5640806396849936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5616.0000000000009</v>
      </c>
      <c r="D27" s="316">
        <f t="shared" si="5"/>
        <v>936.00000000000011</v>
      </c>
      <c r="E27" s="316">
        <f t="shared" si="0"/>
        <v>4680.0000000000009</v>
      </c>
      <c r="F27" s="314"/>
      <c r="G27" s="318">
        <f ca="1">DATA!$D$11/1000000</f>
        <v>0.56480516964500005</v>
      </c>
      <c r="H27" s="318">
        <f>C27*DATA!$D$5/1000000</f>
        <v>6.0884462576990579</v>
      </c>
      <c r="I27" s="318">
        <f>(C27*DATA!$D$5*DATA!$D$7)/1000000</f>
        <v>0.1369900407982288</v>
      </c>
      <c r="J27" s="316">
        <f t="shared" ca="1" si="1"/>
        <v>6.7902414681422867</v>
      </c>
      <c r="K27" s="314"/>
      <c r="L27" s="316">
        <f>((D27*DATA!$D$23)/1000000)+((E27*DATA!$D$24)/1000000)</f>
        <v>8.1134352000000014</v>
      </c>
      <c r="M27" s="316">
        <f t="shared" si="2"/>
        <v>8.1134352000000014</v>
      </c>
      <c r="N27" s="316">
        <f t="shared" ca="1" si="6"/>
        <v>1.3231937318577147</v>
      </c>
      <c r="O27" s="315">
        <f>1/(1+'[93]Asumsi I'!$C$3)^(KKF!A27)</f>
        <v>0.1036667650806883</v>
      </c>
      <c r="P27" s="316">
        <f t="shared" ca="1" si="7"/>
        <v>0.13717121375673297</v>
      </c>
      <c r="Q27" s="316">
        <f t="shared" ca="1" si="9"/>
        <v>-7.4269094259282609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5616.0000000000009</v>
      </c>
      <c r="D28" s="316">
        <f t="shared" si="5"/>
        <v>936.00000000000011</v>
      </c>
      <c r="E28" s="316">
        <f t="shared" si="0"/>
        <v>4680.0000000000009</v>
      </c>
      <c r="F28" s="314"/>
      <c r="G28" s="318">
        <f ca="1">DATA!$D$11/1000000</f>
        <v>0.56480516964500005</v>
      </c>
      <c r="H28" s="318">
        <f>C28*DATA!$D$5/1000000</f>
        <v>6.0884462576990579</v>
      </c>
      <c r="I28" s="318">
        <f>(C28*DATA!$D$5*DATA!$D$7)/1000000</f>
        <v>0.1369900407982288</v>
      </c>
      <c r="J28" s="316">
        <f t="shared" ca="1" si="1"/>
        <v>6.7902414681422867</v>
      </c>
      <c r="K28" s="314"/>
      <c r="L28" s="316">
        <f>((D28*DATA!$D$23)/1000000)+((E28*DATA!$D$24)/1000000)</f>
        <v>8.1134352000000014</v>
      </c>
      <c r="M28" s="316">
        <f t="shared" si="2"/>
        <v>8.1134352000000014</v>
      </c>
      <c r="N28" s="316">
        <f t="shared" ca="1" si="6"/>
        <v>1.3231937318577147</v>
      </c>
      <c r="O28" s="315">
        <f>1/(1+'[93]Asumsi I'!$C$3)^(KKF!A28)</f>
        <v>9.2559611679185971E-2</v>
      </c>
      <c r="P28" s="316">
        <f t="shared" ca="1" si="7"/>
        <v>0.122474297997083</v>
      </c>
      <c r="Q28" s="316">
        <f t="shared" ca="1" si="9"/>
        <v>-7.3044351279311774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5616.0000000000009</v>
      </c>
      <c r="D29" s="316">
        <f t="shared" si="5"/>
        <v>936.00000000000011</v>
      </c>
      <c r="E29" s="316">
        <f t="shared" si="0"/>
        <v>4680.0000000000009</v>
      </c>
      <c r="F29" s="314"/>
      <c r="G29" s="318">
        <f ca="1">DATA!$D$11/1000000</f>
        <v>0.56480516964500005</v>
      </c>
      <c r="H29" s="318">
        <f>C29*DATA!$D$5/1000000</f>
        <v>6.0884462576990579</v>
      </c>
      <c r="I29" s="318">
        <f>(C29*DATA!$D$5*DATA!$D$7)/1000000</f>
        <v>0.1369900407982288</v>
      </c>
      <c r="J29" s="316">
        <f t="shared" ca="1" si="1"/>
        <v>6.7902414681422867</v>
      </c>
      <c r="K29" s="314"/>
      <c r="L29" s="316">
        <f>((D29*DATA!$D$23)/1000000)+((E29*DATA!$D$24)/1000000)</f>
        <v>8.1134352000000014</v>
      </c>
      <c r="M29" s="316">
        <f t="shared" si="2"/>
        <v>8.1134352000000014</v>
      </c>
      <c r="N29" s="316">
        <f t="shared" ca="1" si="6"/>
        <v>1.3231937318577147</v>
      </c>
      <c r="O29" s="315">
        <f>1/(1+'[93]Asumsi I'!$C$3)^(KKF!A29)</f>
        <v>8.2642510427844609E-2</v>
      </c>
      <c r="P29" s="316">
        <f t="shared" ca="1" si="7"/>
        <v>0.10935205178310982</v>
      </c>
      <c r="Q29" s="316">
        <f t="shared" ca="1" si="9"/>
        <v>-7.1950830761480677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5616.0000000000009</v>
      </c>
      <c r="D30" s="316">
        <f t="shared" si="5"/>
        <v>936.00000000000011</v>
      </c>
      <c r="E30" s="316">
        <f t="shared" si="0"/>
        <v>4680.0000000000009</v>
      </c>
      <c r="F30" s="314"/>
      <c r="G30" s="318">
        <f ca="1">DATA!$D$11/1000000</f>
        <v>0.56480516964500005</v>
      </c>
      <c r="H30" s="318">
        <f>C30*DATA!$D$5/1000000</f>
        <v>6.0884462576990579</v>
      </c>
      <c r="I30" s="318">
        <f>(C30*DATA!$D$5*DATA!$D$7)/1000000</f>
        <v>0.1369900407982288</v>
      </c>
      <c r="J30" s="316">
        <f t="shared" ca="1" si="1"/>
        <v>6.7902414681422867</v>
      </c>
      <c r="K30" s="314"/>
      <c r="L30" s="316">
        <f>((D30*DATA!$D$23)/1000000)+((E30*DATA!$D$24)/1000000)</f>
        <v>8.1134352000000014</v>
      </c>
      <c r="M30" s="316">
        <f t="shared" si="2"/>
        <v>8.1134352000000014</v>
      </c>
      <c r="N30" s="316">
        <f t="shared" ca="1" si="6"/>
        <v>1.3231937318577147</v>
      </c>
      <c r="O30" s="315">
        <f>1/(1+'[93]Asumsi I'!$C$3)^(KKF!A30)</f>
        <v>7.3787955739146982E-2</v>
      </c>
      <c r="P30" s="316">
        <f t="shared" ca="1" si="7"/>
        <v>9.7635760520633774E-2</v>
      </c>
      <c r="Q30" s="316">
        <f t="shared" ca="1" si="9"/>
        <v>-7.0974473156274343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5616.0000000000009</v>
      </c>
      <c r="D31" s="316">
        <f t="shared" si="5"/>
        <v>936.00000000000011</v>
      </c>
      <c r="E31" s="316">
        <f t="shared" si="0"/>
        <v>4680.0000000000009</v>
      </c>
      <c r="F31" s="314"/>
      <c r="G31" s="318">
        <f ca="1">DATA!$D$11/1000000</f>
        <v>0.56480516964500005</v>
      </c>
      <c r="H31" s="318">
        <f>C31*DATA!$D$5/1000000</f>
        <v>6.0884462576990579</v>
      </c>
      <c r="I31" s="318">
        <f>(C31*DATA!$D$5*DATA!$D$7)/1000000</f>
        <v>0.1369900407982288</v>
      </c>
      <c r="J31" s="316">
        <f t="shared" ca="1" si="1"/>
        <v>6.7902414681422867</v>
      </c>
      <c r="K31" s="314"/>
      <c r="L31" s="316">
        <f>((D31*DATA!$D$23)/1000000)+((E31*DATA!$D$24)/1000000)</f>
        <v>8.1134352000000014</v>
      </c>
      <c r="M31" s="316">
        <f t="shared" si="2"/>
        <v>8.1134352000000014</v>
      </c>
      <c r="N31" s="316">
        <f t="shared" ca="1" si="6"/>
        <v>1.3231937318577147</v>
      </c>
      <c r="O31" s="315">
        <f>1/(1+'[93]Asumsi I'!$C$3)^(KKF!A31)</f>
        <v>6.5882103338524081E-2</v>
      </c>
      <c r="P31" s="316">
        <f t="shared" ca="1" si="7"/>
        <v>8.7174786179137279E-2</v>
      </c>
      <c r="Q31" s="316">
        <f ca="1">Q30+P31</f>
        <v>-7.0102725294482973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5616.0000000000009</v>
      </c>
      <c r="D32" s="316">
        <f t="shared" si="5"/>
        <v>936.00000000000011</v>
      </c>
      <c r="E32" s="316">
        <f t="shared" si="0"/>
        <v>4680.0000000000009</v>
      </c>
      <c r="F32" s="314"/>
      <c r="G32" s="318">
        <f ca="1">DATA!$D$11/1000000</f>
        <v>0.56480516964500005</v>
      </c>
      <c r="H32" s="318">
        <f>C32*DATA!$D$5/1000000</f>
        <v>6.0884462576990579</v>
      </c>
      <c r="I32" s="318">
        <f>(C32*DATA!$D$5*DATA!$D$7)/1000000</f>
        <v>0.1369900407982288</v>
      </c>
      <c r="J32" s="316">
        <f t="shared" ca="1" si="1"/>
        <v>6.7902414681422867</v>
      </c>
      <c r="K32" s="314"/>
      <c r="L32" s="316">
        <f>((D32*DATA!$D$23)/1000000)+((E32*DATA!$D$24)/1000000)</f>
        <v>8.1134352000000014</v>
      </c>
      <c r="M32" s="316">
        <f t="shared" si="2"/>
        <v>8.1134352000000014</v>
      </c>
      <c r="N32" s="316">
        <f t="shared" ca="1" si="6"/>
        <v>1.3231937318577147</v>
      </c>
      <c r="O32" s="315">
        <f>1/(1+'[93]Asumsi I'!$C$3)^(KKF!A32)</f>
        <v>5.8823306552253637E-2</v>
      </c>
      <c r="P32" s="316">
        <f t="shared" ca="1" si="7"/>
        <v>7.7834630517086847E-2</v>
      </c>
      <c r="Q32" s="316">
        <f ca="1">Q31+P32</f>
        <v>-6.9324378989312105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7" t="s">
        <v>1374</v>
      </c>
      <c r="G33" s="607"/>
      <c r="H33" s="607"/>
      <c r="I33" s="324"/>
      <c r="J33" s="325">
        <f ca="1">SUM(J7:J32)</f>
        <v>199.07988671366022</v>
      </c>
      <c r="K33" s="607" t="s">
        <v>1375</v>
      </c>
      <c r="L33" s="607"/>
      <c r="M33" s="325">
        <f>SUM(M7:M32)</f>
        <v>214.84929959999997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22.161418471151244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1.0792114821173329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-6.1896766954742954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5.7582831418904634E-2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2" priority="1" stopIfTrue="1" operator="greaterThanOrEqual">
      <formula>$F$7</formula>
    </cfRule>
    <cfRule type="cellIs" dxfId="11" priority="2" stopIfTrue="1" operator="lessThan">
      <formula>$F$7</formula>
    </cfRule>
  </conditionalFormatting>
  <conditionalFormatting sqref="Q7:Q32">
    <cfRule type="cellIs" dxfId="10" priority="3" operator="lessThan">
      <formula>0</formula>
    </cfRule>
    <cfRule type="cellIs" dxfId="9" priority="4" operator="lessThan">
      <formula>0</formula>
    </cfRule>
    <cfRule type="cellIs" dxfId="8" priority="5" operator="lessThan">
      <formula>-6395.81</formula>
    </cfRule>
    <cfRule type="cellIs" dxfId="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93"/>
  <sheetViews>
    <sheetView showGridLines="0" zoomScale="85" zoomScaleNormal="85" zoomScaleSheetLayoutView="70" workbookViewId="0">
      <pane ySplit="13" topLeftCell="A83" activePane="bottomLeft" state="frozen"/>
      <selection activeCell="H1093" sqref="H1093"/>
      <selection pane="bottomLeft" activeCell="I84" sqref="I84:K90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7" customWidth="1"/>
    <col min="4" max="4" width="13.7109375" style="407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0" t="s">
        <v>1036</v>
      </c>
      <c r="P3" s="630"/>
      <c r="Q3" s="346"/>
      <c r="T3" s="344"/>
      <c r="U3" s="345" t="s">
        <v>1041</v>
      </c>
      <c r="V3" s="344"/>
    </row>
    <row r="4" spans="1:22" ht="15.75" customHeight="1">
      <c r="B4" s="631" t="s">
        <v>1023</v>
      </c>
      <c r="C4" s="631"/>
      <c r="D4" s="631"/>
      <c r="E4" s="631"/>
      <c r="F4" s="631"/>
      <c r="G4" s="631"/>
      <c r="H4" s="631"/>
      <c r="I4" s="631"/>
      <c r="J4" s="631"/>
      <c r="K4" s="631"/>
      <c r="O4" s="630"/>
      <c r="P4" s="630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14" t="str">
        <f>DATA!D14</f>
        <v>KOS UCIT LUSIATI</v>
      </c>
      <c r="H6" s="614"/>
      <c r="I6" s="614"/>
      <c r="J6" s="614"/>
      <c r="K6" s="614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1624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33" t="s">
        <v>0</v>
      </c>
      <c r="C11" s="635" t="s">
        <v>1</v>
      </c>
      <c r="D11" s="624" t="s">
        <v>42</v>
      </c>
      <c r="E11" s="624" t="s">
        <v>43</v>
      </c>
      <c r="F11" s="624" t="s">
        <v>2</v>
      </c>
      <c r="G11" s="638" t="s">
        <v>41</v>
      </c>
      <c r="H11" s="624" t="s">
        <v>3</v>
      </c>
      <c r="I11" s="624"/>
      <c r="J11" s="624"/>
      <c r="K11" s="625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34"/>
      <c r="C12" s="636"/>
      <c r="D12" s="628"/>
      <c r="E12" s="628"/>
      <c r="F12" s="628"/>
      <c r="G12" s="639"/>
      <c r="H12" s="626" t="s">
        <v>46</v>
      </c>
      <c r="I12" s="626" t="s">
        <v>5</v>
      </c>
      <c r="J12" s="628" t="s">
        <v>47</v>
      </c>
      <c r="K12" s="629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34"/>
      <c r="C13" s="637"/>
      <c r="D13" s="628"/>
      <c r="E13" s="628"/>
      <c r="F13" s="628"/>
      <c r="G13" s="640"/>
      <c r="H13" s="627"/>
      <c r="I13" s="627"/>
      <c r="J13" s="628"/>
      <c r="K13" s="629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:H16" ca="1" si="0">IF(OR(D14="MDU",D14="MDU-KD"),(IF($O$3="RAB NON MDU","PLN KD",G14*F14)),0)</f>
        <v>0</v>
      </c>
      <c r="I14" s="361">
        <f t="shared" ref="I14:I16" ca="1" si="1">IF(D14="HDW",G14*F14,0)</f>
        <v>0</v>
      </c>
      <c r="J14" s="361">
        <f t="shared" ref="J14:J16" ca="1" si="2">IF(D14="JASA",G14*F14,0)</f>
        <v>0</v>
      </c>
      <c r="K14" s="362">
        <f t="shared" ref="K14:K16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ca="1" si="0"/>
        <v>0</v>
      </c>
      <c r="I15" s="361">
        <f t="shared" ca="1" si="1"/>
        <v>0</v>
      </c>
      <c r="J15" s="361">
        <f t="shared" ca="1" si="2"/>
        <v>0</v>
      </c>
      <c r="K15" s="362">
        <f t="shared" ca="1" si="3"/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66">
        <v>1</v>
      </c>
      <c r="C16" s="109" t="s">
        <v>101</v>
      </c>
      <c r="D16" s="358" t="str">
        <f ca="1">IF(ISERROR(OFFSET('HARGA SATUAN'!$D$6,MATCH(RAB!C16,'HARGA SATUAN'!$C$7:$C$1492,0),0)),"",OFFSET('HARGA SATUAN'!$D$6,MATCH(RAB!C16,'HARGA SATUAN'!$C$7:$C$1492,0),0))</f>
        <v>HDW</v>
      </c>
      <c r="E16" s="359" t="str">
        <f ca="1">IF(B16="+","Unit",IF(ISERROR(OFFSET('HARGA SATUAN'!$E$6,MATCH(RAB!C16,'HARGA SATUAN'!$C$7:$C$1492,0),0)),"",OFFSET('HARGA SATUAN'!$E$6,MATCH(RAB!C16,'HARGA SATUAN'!$C$7:$C$1492,0),0)))</f>
        <v>Btg</v>
      </c>
      <c r="F16" s="368">
        <v>4</v>
      </c>
      <c r="G16" s="360">
        <f ca="1">IF(ISERROR(OFFSET('HARGA SATUAN'!$I$6,MATCH(RAB!C16,'HARGA SATUAN'!$C$7:$C$1492,0),0)),0,OFFSET('HARGA SATUAN'!$I$6,MATCH(RAB!C16,'HARGA SATUAN'!$C$7:$C$1492,0),0))</f>
        <v>3382600</v>
      </c>
      <c r="H16" s="361">
        <f t="shared" ca="1" si="0"/>
        <v>0</v>
      </c>
      <c r="I16" s="361">
        <f t="shared" ca="1" si="1"/>
        <v>13530400</v>
      </c>
      <c r="J16" s="361">
        <f t="shared" ca="1" si="2"/>
        <v>0</v>
      </c>
      <c r="K16" s="362">
        <f t="shared" ca="1" si="3"/>
        <v>13530400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 t="s">
        <v>1622</v>
      </c>
      <c r="B17" s="371">
        <v>2</v>
      </c>
      <c r="C17" s="109" t="s">
        <v>6</v>
      </c>
      <c r="D17" s="358" t="str">
        <f ca="1">IF(ISERROR(OFFSET('HARGA SATUAN'!$D$6,MATCH(RAB!C17,'HARGA SATUAN'!$C$7:$C$1492,0),0)),"",OFFSET('HARGA SATUAN'!$D$6,MATCH(RAB!C17,'HARGA SATUAN'!$C$7:$C$1492,0),0))</f>
        <v>JASA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f>F16</f>
        <v>4</v>
      </c>
      <c r="G17" s="360">
        <f ca="1">IF(ISERROR(OFFSET('HARGA SATUAN'!$I$6,MATCH(RAB!C17,'HARGA SATUAN'!$C$7:$C$1492,0),0)),0,OFFSET('HARGA SATUAN'!$I$6,MATCH(RAB!C17,'HARGA SATUAN'!$C$7:$C$1492,0),0))</f>
        <v>10066.666666666668</v>
      </c>
      <c r="H17" s="361">
        <f t="shared" ref="H17:H20" ca="1" si="4">IF(OR(D17="MDU",D17="MDU-KD"),(IF($O$3="RAB NON MDU","PLN KD",G17*F17)),0)</f>
        <v>0</v>
      </c>
      <c r="I17" s="361">
        <f t="shared" ref="I17:I20" ca="1" si="5">IF(D17="HDW",G17*F17,0)</f>
        <v>0</v>
      </c>
      <c r="J17" s="361">
        <f t="shared" ref="J17:J20" ca="1" si="6">IF(D17="JASA",G17*F17,0)</f>
        <v>40266.666666666672</v>
      </c>
      <c r="K17" s="362">
        <f t="shared" ref="K17:K20" ca="1" si="7">SUM(H17:J17)</f>
        <v>40266.666666666672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/>
      <c r="C18" s="109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ca="1" si="4"/>
        <v>0</v>
      </c>
      <c r="I18" s="361">
        <f t="shared" ca="1" si="5"/>
        <v>0</v>
      </c>
      <c r="J18" s="361">
        <f t="shared" ca="1" si="6"/>
        <v>0</v>
      </c>
      <c r="K18" s="362">
        <f t="shared" ca="1" si="7"/>
        <v>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66" t="s">
        <v>1607</v>
      </c>
      <c r="C19" s="367" t="s">
        <v>1612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68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4"/>
        <v>0</v>
      </c>
      <c r="I19" s="361">
        <f t="shared" ca="1" si="5"/>
        <v>0</v>
      </c>
      <c r="J19" s="361">
        <f t="shared" ca="1" si="6"/>
        <v>0</v>
      </c>
      <c r="K19" s="362">
        <f t="shared" ca="1" si="7"/>
        <v>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>
      <c r="B20" s="492"/>
      <c r="C20" s="495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4"/>
        <v>0</v>
      </c>
      <c r="I20" s="361">
        <f t="shared" ca="1" si="5"/>
        <v>0</v>
      </c>
      <c r="J20" s="361">
        <f t="shared" ca="1" si="6"/>
        <v>0</v>
      </c>
      <c r="K20" s="362">
        <f t="shared" ca="1" si="7"/>
        <v>0</v>
      </c>
    </row>
    <row r="21" spans="1:22">
      <c r="B21" s="502" t="s">
        <v>1035</v>
      </c>
      <c r="C21" s="499" t="s">
        <v>1613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497">
        <v>2</v>
      </c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ref="H21:H38" ca="1" si="8">IF(OR(D21="MDU",D21="MDU-KD"),(IF($O$3="RAB NON MDU","PLN KD",G21*F21)),0)</f>
        <v>0</v>
      </c>
      <c r="I21" s="361">
        <f t="shared" ref="I21:I38" ca="1" si="9">IF(D21="HDW",G21*F21,0)</f>
        <v>0</v>
      </c>
      <c r="J21" s="361">
        <f t="shared" ref="J21:J38" ca="1" si="10">IF(D21="JASA",G21*F21,0)</f>
        <v>0</v>
      </c>
      <c r="K21" s="362">
        <f t="shared" ref="K21:K38" ca="1" si="11">SUM(H21:J21)</f>
        <v>0</v>
      </c>
    </row>
    <row r="22" spans="1:22">
      <c r="B22" s="502">
        <v>1</v>
      </c>
      <c r="C22" s="499" t="s">
        <v>229</v>
      </c>
      <c r="D22" s="358" t="str">
        <f ca="1">IF(ISERROR(OFFSET('HARGA SATUAN'!$D$6,MATCH(RAB!C22,'HARGA SATUAN'!$C$7:$C$1492,0),0)),"",OFFSET('HARGA SATUAN'!$D$6,MATCH(RAB!C22,'HARGA SATUAN'!$C$7:$C$1492,0),0))</f>
        <v>HDW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497">
        <f>F21*1</f>
        <v>2</v>
      </c>
      <c r="G22" s="360">
        <f ca="1">IF(ISERROR(OFFSET('HARGA SATUAN'!$I$6,MATCH(RAB!C22,'HARGA SATUAN'!$C$7:$C$1492,0),0)),0,OFFSET('HARGA SATUAN'!$I$6,MATCH(RAB!C22,'HARGA SATUAN'!$C$7:$C$1492,0),0))</f>
        <v>4212</v>
      </c>
      <c r="H22" s="361">
        <f t="shared" ca="1" si="8"/>
        <v>0</v>
      </c>
      <c r="I22" s="361">
        <f t="shared" ca="1" si="9"/>
        <v>8424</v>
      </c>
      <c r="J22" s="361">
        <f t="shared" ca="1" si="10"/>
        <v>0</v>
      </c>
      <c r="K22" s="362">
        <f t="shared" ca="1" si="11"/>
        <v>8424</v>
      </c>
    </row>
    <row r="23" spans="1:22">
      <c r="B23" s="502">
        <v>2</v>
      </c>
      <c r="C23" s="499" t="s">
        <v>266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Mtr</v>
      </c>
      <c r="F23" s="497">
        <f>F21*1</f>
        <v>2</v>
      </c>
      <c r="G23" s="360">
        <f ca="1">IF(ISERROR(OFFSET('HARGA SATUAN'!$I$6,MATCH(RAB!C23,'HARGA SATUAN'!$C$7:$C$1492,0),0)),0,OFFSET('HARGA SATUAN'!$I$6,MATCH(RAB!C23,'HARGA SATUAN'!$C$7:$C$1492,0),0))</f>
        <v>23310</v>
      </c>
      <c r="H23" s="361">
        <f t="shared" ca="1" si="8"/>
        <v>0</v>
      </c>
      <c r="I23" s="361">
        <f t="shared" ca="1" si="9"/>
        <v>46620</v>
      </c>
      <c r="J23" s="361">
        <f t="shared" ca="1" si="10"/>
        <v>0</v>
      </c>
      <c r="K23" s="362">
        <f t="shared" ca="1" si="11"/>
        <v>46620</v>
      </c>
    </row>
    <row r="24" spans="1:22">
      <c r="B24" s="502">
        <v>3</v>
      </c>
      <c r="C24" s="499" t="s">
        <v>35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497">
        <f>F21*1</f>
        <v>2</v>
      </c>
      <c r="G24" s="360">
        <f ca="1">IF(ISERROR(OFFSET('HARGA SATUAN'!$I$6,MATCH(RAB!C24,'HARGA SATUAN'!$C$7:$C$1492,0),0)),0,OFFSET('HARGA SATUAN'!$I$6,MATCH(RAB!C24,'HARGA SATUAN'!$C$7:$C$1492,0),0))</f>
        <v>2300</v>
      </c>
      <c r="H24" s="361">
        <f t="shared" ca="1" si="8"/>
        <v>0</v>
      </c>
      <c r="I24" s="361">
        <f t="shared" ca="1" si="9"/>
        <v>4600</v>
      </c>
      <c r="J24" s="361">
        <f t="shared" ca="1" si="10"/>
        <v>0</v>
      </c>
      <c r="K24" s="362">
        <f t="shared" ca="1" si="11"/>
        <v>4600</v>
      </c>
    </row>
    <row r="25" spans="1:22">
      <c r="B25" s="502">
        <v>4</v>
      </c>
      <c r="C25" s="499" t="s">
        <v>609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497">
        <f>F21*1</f>
        <v>2</v>
      </c>
      <c r="G25" s="360">
        <f ca="1">IF(ISERROR(OFFSET('HARGA SATUAN'!$I$6,MATCH(RAB!C25,'HARGA SATUAN'!$C$7:$C$1492,0),0)),0,OFFSET('HARGA SATUAN'!$I$6,MATCH(RAB!C25,'HARGA SATUAN'!$C$7:$C$1492,0),0))</f>
        <v>71000</v>
      </c>
      <c r="H25" s="361">
        <f t="shared" ca="1" si="8"/>
        <v>0</v>
      </c>
      <c r="I25" s="361">
        <f t="shared" ca="1" si="9"/>
        <v>142000</v>
      </c>
      <c r="J25" s="361">
        <f t="shared" ca="1" si="10"/>
        <v>0</v>
      </c>
      <c r="K25" s="362">
        <f t="shared" ca="1" si="11"/>
        <v>142000</v>
      </c>
    </row>
    <row r="26" spans="1:22">
      <c r="B26" s="502">
        <v>5</v>
      </c>
      <c r="C26" s="499" t="s">
        <v>629</v>
      </c>
      <c r="D26" s="358" t="str">
        <f ca="1">IF(ISERROR(OFFSET('HARGA SATUAN'!$D$6,MATCH(RAB!C26,'HARGA SATUAN'!$C$7:$C$1492,0),0)),"",OFFSET('HARGA SATUAN'!$D$6,MATCH(RAB!C26,'HARGA SATUAN'!$C$7:$C$1492,0),0))</f>
        <v>JASA</v>
      </c>
      <c r="E26" s="359" t="str">
        <f ca="1">IF(B26="+","Unit",IF(ISERROR(OFFSET('HARGA SATUAN'!$E$6,MATCH(RAB!C26,'HARGA SATUAN'!$C$7:$C$1492,0),0)),"",OFFSET('HARGA SATUAN'!$E$6,MATCH(RAB!C26,'HARGA SATUAN'!$C$7:$C$1492,0),0)))</f>
        <v>Unit</v>
      </c>
      <c r="F26" s="497">
        <f>F21*1</f>
        <v>2</v>
      </c>
      <c r="G26" s="360">
        <f ca="1">IF(ISERROR(OFFSET('HARGA SATUAN'!$I$6,MATCH(RAB!C26,'HARGA SATUAN'!$C$7:$C$1492,0),0)),0,OFFSET('HARGA SATUAN'!$I$6,MATCH(RAB!C26,'HARGA SATUAN'!$C$7:$C$1492,0),0))</f>
        <v>29400</v>
      </c>
      <c r="H26" s="361">
        <f t="shared" ca="1" si="8"/>
        <v>0</v>
      </c>
      <c r="I26" s="361">
        <f t="shared" ca="1" si="9"/>
        <v>0</v>
      </c>
      <c r="J26" s="361">
        <f t="shared" ca="1" si="10"/>
        <v>58800</v>
      </c>
      <c r="K26" s="362">
        <f t="shared" ca="1" si="11"/>
        <v>58800</v>
      </c>
    </row>
    <row r="27" spans="1:22">
      <c r="B27" s="502"/>
      <c r="C27" s="499"/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497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ca="1" si="8"/>
        <v>0</v>
      </c>
      <c r="I27" s="361">
        <f t="shared" ca="1" si="9"/>
        <v>0</v>
      </c>
      <c r="J27" s="361">
        <f t="shared" ca="1" si="10"/>
        <v>0</v>
      </c>
      <c r="K27" s="362">
        <f t="shared" ca="1" si="11"/>
        <v>0</v>
      </c>
    </row>
    <row r="28" spans="1:22">
      <c r="B28" s="502" t="s">
        <v>1035</v>
      </c>
      <c r="C28" s="499" t="s">
        <v>1614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497">
        <v>4</v>
      </c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8"/>
        <v>0</v>
      </c>
      <c r="I28" s="361">
        <f t="shared" ca="1" si="9"/>
        <v>0</v>
      </c>
      <c r="J28" s="361">
        <f t="shared" ca="1" si="10"/>
        <v>0</v>
      </c>
      <c r="K28" s="362">
        <f t="shared" ca="1" si="11"/>
        <v>0</v>
      </c>
    </row>
    <row r="29" spans="1:22">
      <c r="B29" s="502">
        <v>1</v>
      </c>
      <c r="C29" s="499" t="s">
        <v>595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97">
        <f>F28*1</f>
        <v>4</v>
      </c>
      <c r="G29" s="360">
        <f ca="1">IF(ISERROR(OFFSET('HARGA SATUAN'!$I$6,MATCH(RAB!C29,'HARGA SATUAN'!$C$7:$C$1492,0),0)),0,OFFSET('HARGA SATUAN'!$I$6,MATCH(RAB!C29,'HARGA SATUAN'!$C$7:$C$1492,0),0))</f>
        <v>78500</v>
      </c>
      <c r="H29" s="361">
        <f t="shared" ca="1" si="8"/>
        <v>0</v>
      </c>
      <c r="I29" s="361">
        <f t="shared" ca="1" si="9"/>
        <v>314000</v>
      </c>
      <c r="J29" s="361">
        <f t="shared" ca="1" si="10"/>
        <v>0</v>
      </c>
      <c r="K29" s="362">
        <f t="shared" ca="1" si="11"/>
        <v>314000</v>
      </c>
    </row>
    <row r="30" spans="1:22">
      <c r="B30" s="502">
        <v>2</v>
      </c>
      <c r="C30" s="499" t="s">
        <v>229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97">
        <f>F28*1</f>
        <v>4</v>
      </c>
      <c r="G30" s="360">
        <f ca="1">IF(ISERROR(OFFSET('HARGA SATUAN'!$I$6,MATCH(RAB!C30,'HARGA SATUAN'!$C$7:$C$1492,0),0)),0,OFFSET('HARGA SATUAN'!$I$6,MATCH(RAB!C30,'HARGA SATUAN'!$C$7:$C$1492,0),0))</f>
        <v>4212</v>
      </c>
      <c r="H30" s="361">
        <f t="shared" ca="1" si="8"/>
        <v>0</v>
      </c>
      <c r="I30" s="361">
        <f t="shared" ca="1" si="9"/>
        <v>16848</v>
      </c>
      <c r="J30" s="361">
        <f t="shared" ca="1" si="10"/>
        <v>0</v>
      </c>
      <c r="K30" s="362">
        <f t="shared" ca="1" si="11"/>
        <v>16848</v>
      </c>
    </row>
    <row r="31" spans="1:22">
      <c r="B31" s="502">
        <v>3</v>
      </c>
      <c r="C31" s="499" t="s">
        <v>266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Mtr</v>
      </c>
      <c r="F31" s="497">
        <f>F28*1</f>
        <v>4</v>
      </c>
      <c r="G31" s="360">
        <f ca="1">IF(ISERROR(OFFSET('HARGA SATUAN'!$I$6,MATCH(RAB!C31,'HARGA SATUAN'!$C$7:$C$1492,0),0)),0,OFFSET('HARGA SATUAN'!$I$6,MATCH(RAB!C31,'HARGA SATUAN'!$C$7:$C$1492,0),0))</f>
        <v>23310</v>
      </c>
      <c r="H31" s="361">
        <f t="shared" ca="1" si="8"/>
        <v>0</v>
      </c>
      <c r="I31" s="361">
        <f t="shared" ca="1" si="9"/>
        <v>93240</v>
      </c>
      <c r="J31" s="361">
        <f t="shared" ca="1" si="10"/>
        <v>0</v>
      </c>
      <c r="K31" s="362">
        <f t="shared" ca="1" si="11"/>
        <v>93240</v>
      </c>
    </row>
    <row r="32" spans="1:22">
      <c r="B32" s="502">
        <v>4</v>
      </c>
      <c r="C32" s="499" t="s">
        <v>35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97">
        <f>F28*1</f>
        <v>4</v>
      </c>
      <c r="G32" s="360">
        <f ca="1">IF(ISERROR(OFFSET('HARGA SATUAN'!$I$6,MATCH(RAB!C32,'HARGA SATUAN'!$C$7:$C$1492,0),0)),0,OFFSET('HARGA SATUAN'!$I$6,MATCH(RAB!C32,'HARGA SATUAN'!$C$7:$C$1492,0),0))</f>
        <v>2300</v>
      </c>
      <c r="H32" s="361">
        <f t="shared" ca="1" si="8"/>
        <v>0</v>
      </c>
      <c r="I32" s="361">
        <f t="shared" ca="1" si="9"/>
        <v>9200</v>
      </c>
      <c r="J32" s="361">
        <f t="shared" ca="1" si="10"/>
        <v>0</v>
      </c>
      <c r="K32" s="362">
        <f t="shared" ca="1" si="11"/>
        <v>9200</v>
      </c>
    </row>
    <row r="33" spans="2:11">
      <c r="B33" s="502">
        <v>5</v>
      </c>
      <c r="C33" s="499" t="s">
        <v>630</v>
      </c>
      <c r="D33" s="358" t="str">
        <f ca="1">IF(ISERROR(OFFSET('HARGA SATUAN'!$D$6,MATCH(RAB!C33,'HARGA SATUAN'!$C$7:$C$1492,0),0)),"",OFFSET('HARGA SATUAN'!$D$6,MATCH(RAB!C33,'HARGA SATUAN'!$C$7:$C$1492,0),0))</f>
        <v>JASA</v>
      </c>
      <c r="E33" s="359" t="str">
        <f ca="1">IF(B33="+","Unit",IF(ISERROR(OFFSET('HARGA SATUAN'!$E$6,MATCH(RAB!C33,'HARGA SATUAN'!$C$7:$C$1492,0),0)),"",OFFSET('HARGA SATUAN'!$E$6,MATCH(RAB!C33,'HARGA SATUAN'!$C$7:$C$1492,0),0)))</f>
        <v>Unit</v>
      </c>
      <c r="F33" s="497">
        <f>F28*1</f>
        <v>4</v>
      </c>
      <c r="G33" s="360">
        <f ca="1">IF(ISERROR(OFFSET('HARGA SATUAN'!$I$6,MATCH(RAB!C33,'HARGA SATUAN'!$C$7:$C$1492,0),0)),0,OFFSET('HARGA SATUAN'!$I$6,MATCH(RAB!C33,'HARGA SATUAN'!$C$7:$C$1492,0),0))</f>
        <v>35700</v>
      </c>
      <c r="H33" s="361">
        <f t="shared" ca="1" si="8"/>
        <v>0</v>
      </c>
      <c r="I33" s="361">
        <f t="shared" ca="1" si="9"/>
        <v>0</v>
      </c>
      <c r="J33" s="361">
        <f t="shared" ca="1" si="10"/>
        <v>142800</v>
      </c>
      <c r="K33" s="362">
        <f t="shared" ca="1" si="11"/>
        <v>142800</v>
      </c>
    </row>
    <row r="34" spans="2:11">
      <c r="B34" s="492"/>
      <c r="C34" s="495"/>
      <c r="D34" s="358" t="str">
        <f ca="1">IF(ISERROR(OFFSET('HARGA SATUAN'!$D$6,MATCH(RAB!C34,'HARGA SATUAN'!$C$7:$C$1492,0),0)),"",OFFSET('HARGA SATUAN'!$D$6,MATCH(RAB!C34,'HARGA SATUAN'!$C$7:$C$1492,0),0))</f>
        <v/>
      </c>
      <c r="E34" s="359" t="str">
        <f ca="1">IF(B34="+","Unit",IF(ISERROR(OFFSET('HARGA SATUAN'!$E$6,MATCH(RAB!C34,'HARGA SATUAN'!$C$7:$C$1492,0),0)),"",OFFSET('HARGA SATUAN'!$E$6,MATCH(RAB!C34,'HARGA SATUAN'!$C$7:$C$1492,0),0)))</f>
        <v/>
      </c>
      <c r="F34" s="368"/>
      <c r="G34" s="360">
        <f ca="1">IF(ISERROR(OFFSET('HARGA SATUAN'!$I$6,MATCH(RAB!C34,'HARGA SATUAN'!$C$7:$C$1492,0),0)),0,OFFSET('HARGA SATUAN'!$I$6,MATCH(RAB!C34,'HARGA SATUAN'!$C$7:$C$1492,0),0))</f>
        <v>0</v>
      </c>
      <c r="H34" s="361">
        <f t="shared" ca="1" si="8"/>
        <v>0</v>
      </c>
      <c r="I34" s="361">
        <f t="shared" ca="1" si="9"/>
        <v>0</v>
      </c>
      <c r="J34" s="361">
        <f t="shared" ca="1" si="10"/>
        <v>0</v>
      </c>
      <c r="K34" s="362">
        <f t="shared" ca="1" si="11"/>
        <v>0</v>
      </c>
    </row>
    <row r="35" spans="2:11">
      <c r="B35" s="492"/>
      <c r="C35" s="503" t="s">
        <v>1615</v>
      </c>
      <c r="D35" s="358" t="str">
        <f ca="1">IF(ISERROR(OFFSET('HARGA SATUAN'!$D$6,MATCH(RAB!C35,'HARGA SATUAN'!$C$7:$C$1492,0),0)),"",OFFSET('HARGA SATUAN'!$D$6,MATCH(RAB!C35,'HARGA SATUAN'!$C$7:$C$1492,0),0))</f>
        <v/>
      </c>
      <c r="E35" s="359" t="str">
        <f ca="1">IF(B35="+","Unit",IF(ISERROR(OFFSET('HARGA SATUAN'!$E$6,MATCH(RAB!C35,'HARGA SATUAN'!$C$7:$C$1492,0),0)),"",OFFSET('HARGA SATUAN'!$E$6,MATCH(RAB!C35,'HARGA SATUAN'!$C$7:$C$1492,0),0)))</f>
        <v/>
      </c>
      <c r="F35" s="368"/>
      <c r="G35" s="360">
        <f ca="1">IF(ISERROR(OFFSET('HARGA SATUAN'!$I$6,MATCH(RAB!C35,'HARGA SATUAN'!$C$7:$C$1492,0),0)),0,OFFSET('HARGA SATUAN'!$I$6,MATCH(RAB!C35,'HARGA SATUAN'!$C$7:$C$1492,0),0))</f>
        <v>0</v>
      </c>
      <c r="H35" s="361">
        <f t="shared" ref="H35" ca="1" si="12">IF(OR(D35="MDU",D35="MDU-KD"),(IF($O$3="RAB NON MDU","PLN KD",G35*F35)),0)</f>
        <v>0</v>
      </c>
      <c r="I35" s="361">
        <f t="shared" ref="I35" ca="1" si="13">IF(D35="HDW",G35*F35,0)</f>
        <v>0</v>
      </c>
      <c r="J35" s="361">
        <f t="shared" ref="J35" ca="1" si="14">IF(D35="JASA",G35*F35,0)</f>
        <v>0</v>
      </c>
      <c r="K35" s="362">
        <f t="shared" ref="K35" ca="1" si="15">SUM(H35:J35)</f>
        <v>0</v>
      </c>
    </row>
    <row r="36" spans="2:11">
      <c r="B36" s="492">
        <v>1</v>
      </c>
      <c r="C36" s="109" t="s">
        <v>1403</v>
      </c>
      <c r="D36" s="358" t="str">
        <f ca="1">IF(ISERROR(OFFSET('HARGA SATUAN'!$D$6,MATCH(RAB!C36,'HARGA SATUAN'!$C$7:$C$1492,0),0)),"",OFFSET('HARGA SATUAN'!$D$6,MATCH(RAB!C36,'HARGA SATUAN'!$C$7:$C$1492,0),0))</f>
        <v>MDU-KD</v>
      </c>
      <c r="E36" s="359" t="str">
        <f ca="1">IF(B36="+","Unit",IF(ISERROR(OFFSET('HARGA SATUAN'!$E$6,MATCH(RAB!C36,'HARGA SATUAN'!$C$7:$C$1492,0),0)),"",OFFSET('HARGA SATUAN'!$E$6,MATCH(RAB!C36,'HARGA SATUAN'!$C$7:$C$1492,0),0)))</f>
        <v>Mtr</v>
      </c>
      <c r="F36" s="368">
        <v>120</v>
      </c>
      <c r="G36" s="360">
        <f ca="1">IF(ISERROR(OFFSET('HARGA SATUAN'!$I$6,MATCH(RAB!C36,'HARGA SATUAN'!$C$7:$C$1492,0),0)),0,OFFSET('HARGA SATUAN'!$I$6,MATCH(RAB!C36,'HARGA SATUAN'!$C$7:$C$1492,0),0))</f>
        <v>30400</v>
      </c>
      <c r="H36" s="361">
        <f t="shared" ca="1" si="8"/>
        <v>3648000</v>
      </c>
      <c r="I36" s="361">
        <f t="shared" ca="1" si="9"/>
        <v>0</v>
      </c>
      <c r="J36" s="361">
        <f t="shared" ca="1" si="10"/>
        <v>0</v>
      </c>
      <c r="K36" s="362">
        <f t="shared" ca="1" si="11"/>
        <v>3648000</v>
      </c>
    </row>
    <row r="37" spans="2:11">
      <c r="B37" s="492">
        <v>2</v>
      </c>
      <c r="C37" s="109" t="s">
        <v>346</v>
      </c>
      <c r="D37" s="358" t="str">
        <f ca="1">IF(ISERROR(OFFSET('HARGA SATUAN'!$D$6,MATCH(RAB!C37,'HARGA SATUAN'!$C$7:$C$1492,0),0)),"",OFFSET('HARGA SATUAN'!$D$6,MATCH(RAB!C37,'HARGA SATUAN'!$C$7:$C$1492,0),0))</f>
        <v>JASA</v>
      </c>
      <c r="E37" s="359" t="str">
        <f ca="1">IF(B37="+","Unit",IF(ISERROR(OFFSET('HARGA SATUAN'!$E$6,MATCH(RAB!C37,'HARGA SATUAN'!$C$7:$C$1492,0),0)),"",OFFSET('HARGA SATUAN'!$E$6,MATCH(RAB!C37,'HARGA SATUAN'!$C$7:$C$1492,0),0)))</f>
        <v>Per 50 m</v>
      </c>
      <c r="F37" s="368">
        <f>F36/50</f>
        <v>2.4</v>
      </c>
      <c r="G37" s="360">
        <f ca="1">IF(ISERROR(OFFSET('HARGA SATUAN'!$I$6,MATCH(RAB!C37,'HARGA SATUAN'!$C$7:$C$1492,0),0)),0,OFFSET('HARGA SATUAN'!$I$6,MATCH(RAB!C37,'HARGA SATUAN'!$C$7:$C$1492,0),0))</f>
        <v>223500</v>
      </c>
      <c r="H37" s="361">
        <f t="shared" ca="1" si="8"/>
        <v>0</v>
      </c>
      <c r="I37" s="361">
        <f t="shared" ca="1" si="9"/>
        <v>0</v>
      </c>
      <c r="J37" s="361">
        <f t="shared" ca="1" si="10"/>
        <v>536400</v>
      </c>
      <c r="K37" s="362">
        <f t="shared" ca="1" si="11"/>
        <v>536400</v>
      </c>
    </row>
    <row r="38" spans="2:11">
      <c r="B38" s="492"/>
      <c r="C38" s="495"/>
      <c r="D38" s="358" t="str">
        <f ca="1">IF(ISERROR(OFFSET('HARGA SATUAN'!$D$6,MATCH(RAB!C38,'HARGA SATUAN'!$C$7:$C$1492,0),0)),"",OFFSET('HARGA SATUAN'!$D$6,MATCH(RAB!C38,'HARGA SATUAN'!$C$7:$C$1492,0),0))</f>
        <v/>
      </c>
      <c r="E38" s="359" t="str">
        <f ca="1">IF(B38="+","Unit",IF(ISERROR(OFFSET('HARGA SATUAN'!$E$6,MATCH(RAB!C38,'HARGA SATUAN'!$C$7:$C$1492,0),0)),"",OFFSET('HARGA SATUAN'!$E$6,MATCH(RAB!C38,'HARGA SATUAN'!$C$7:$C$1492,0),0)))</f>
        <v/>
      </c>
      <c r="F38" s="368"/>
      <c r="G38" s="360">
        <f ca="1">IF(ISERROR(OFFSET('HARGA SATUAN'!$I$6,MATCH(RAB!C38,'HARGA SATUAN'!$C$7:$C$1492,0),0)),0,OFFSET('HARGA SATUAN'!$I$6,MATCH(RAB!C38,'HARGA SATUAN'!$C$7:$C$1492,0),0))</f>
        <v>0</v>
      </c>
      <c r="H38" s="361">
        <f t="shared" ca="1" si="8"/>
        <v>0</v>
      </c>
      <c r="I38" s="361">
        <f t="shared" ca="1" si="9"/>
        <v>0</v>
      </c>
      <c r="J38" s="361">
        <f t="shared" ca="1" si="10"/>
        <v>0</v>
      </c>
      <c r="K38" s="362">
        <f t="shared" ca="1" si="11"/>
        <v>0</v>
      </c>
    </row>
    <row r="39" spans="2:11">
      <c r="B39" s="492"/>
      <c r="C39" s="503" t="s">
        <v>1619</v>
      </c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368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ref="H39:H61" ca="1" si="16">IF(OR(D39="MDU",D39="MDU-KD"),(IF($O$3="RAB NON MDU","PLN KD",G39*F39)),0)</f>
        <v>0</v>
      </c>
      <c r="I39" s="361">
        <f t="shared" ref="I39:I61" ca="1" si="17">IF(D39="HDW",G39*F39,0)</f>
        <v>0</v>
      </c>
      <c r="J39" s="361">
        <f t="shared" ref="J39:J61" ca="1" si="18">IF(D39="JASA",G39*F39,0)</f>
        <v>0</v>
      </c>
      <c r="K39" s="362">
        <f t="shared" ref="K39:K61" ca="1" si="19">SUM(H39:J39)</f>
        <v>0</v>
      </c>
    </row>
    <row r="40" spans="2:11">
      <c r="B40" s="504" t="s">
        <v>1035</v>
      </c>
      <c r="C40" s="505" t="s">
        <v>1616</v>
      </c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>Unit</v>
      </c>
      <c r="F40" s="497">
        <v>1</v>
      </c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ca="1" si="16"/>
        <v>0</v>
      </c>
      <c r="I40" s="361">
        <f t="shared" ca="1" si="17"/>
        <v>0</v>
      </c>
      <c r="J40" s="361">
        <f t="shared" ca="1" si="18"/>
        <v>0</v>
      </c>
      <c r="K40" s="362">
        <f t="shared" ca="1" si="19"/>
        <v>0</v>
      </c>
    </row>
    <row r="41" spans="2:11">
      <c r="B41" s="504">
        <v>1</v>
      </c>
      <c r="C41" s="505" t="s">
        <v>28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497">
        <f>F40*1</f>
        <v>1</v>
      </c>
      <c r="G41" s="360">
        <f ca="1">IF(ISERROR(OFFSET('HARGA SATUAN'!$I$6,MATCH(RAB!C41,'HARGA SATUAN'!$C$7:$C$1492,0),0)),0,OFFSET('HARGA SATUAN'!$I$6,MATCH(RAB!C41,'HARGA SATUAN'!$C$7:$C$1492,0),0))</f>
        <v>26500</v>
      </c>
      <c r="H41" s="361">
        <f t="shared" ca="1" si="16"/>
        <v>0</v>
      </c>
      <c r="I41" s="361">
        <f t="shared" ca="1" si="17"/>
        <v>26500</v>
      </c>
      <c r="J41" s="361">
        <f t="shared" ca="1" si="18"/>
        <v>0</v>
      </c>
      <c r="K41" s="362">
        <f t="shared" ca="1" si="19"/>
        <v>26500</v>
      </c>
    </row>
    <row r="42" spans="2:11">
      <c r="B42" s="504">
        <v>2</v>
      </c>
      <c r="C42" s="505" t="s">
        <v>203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497">
        <f>F40*1</f>
        <v>1</v>
      </c>
      <c r="G42" s="360">
        <f ca="1">IF(ISERROR(OFFSET('HARGA SATUAN'!$I$6,MATCH(RAB!C42,'HARGA SATUAN'!$C$7:$C$1492,0),0)),0,OFFSET('HARGA SATUAN'!$I$6,MATCH(RAB!C42,'HARGA SATUAN'!$C$7:$C$1492,0),0))</f>
        <v>12500</v>
      </c>
      <c r="H42" s="361">
        <f t="shared" ca="1" si="16"/>
        <v>0</v>
      </c>
      <c r="I42" s="361">
        <f t="shared" ca="1" si="17"/>
        <v>12500</v>
      </c>
      <c r="J42" s="361">
        <f t="shared" ca="1" si="18"/>
        <v>0</v>
      </c>
      <c r="K42" s="362">
        <f t="shared" ca="1" si="19"/>
        <v>12500</v>
      </c>
    </row>
    <row r="43" spans="2:11">
      <c r="B43" s="504">
        <v>3</v>
      </c>
      <c r="C43" s="505" t="s">
        <v>206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Mtr</v>
      </c>
      <c r="F43" s="497">
        <f>F40*12</f>
        <v>12</v>
      </c>
      <c r="G43" s="360">
        <f ca="1">IF(ISERROR(OFFSET('HARGA SATUAN'!$I$6,MATCH(RAB!C43,'HARGA SATUAN'!$C$7:$C$1492,0),0)),0,OFFSET('HARGA SATUAN'!$I$6,MATCH(RAB!C43,'HARGA SATUAN'!$C$7:$C$1492,0),0))</f>
        <v>39204</v>
      </c>
      <c r="H43" s="361">
        <f t="shared" ca="1" si="16"/>
        <v>0</v>
      </c>
      <c r="I43" s="361">
        <f t="shared" ca="1" si="17"/>
        <v>470448</v>
      </c>
      <c r="J43" s="361">
        <f t="shared" ca="1" si="18"/>
        <v>0</v>
      </c>
      <c r="K43" s="362">
        <f t="shared" ca="1" si="19"/>
        <v>470448</v>
      </c>
    </row>
    <row r="44" spans="2:11">
      <c r="B44" s="504">
        <v>4</v>
      </c>
      <c r="C44" s="505" t="s">
        <v>287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497">
        <f>F40*2</f>
        <v>2</v>
      </c>
      <c r="G44" s="360">
        <f ca="1">IF(ISERROR(OFFSET('HARGA SATUAN'!$I$6,MATCH(RAB!C44,'HARGA SATUAN'!$C$7:$C$1492,0),0)),0,OFFSET('HARGA SATUAN'!$I$6,MATCH(RAB!C44,'HARGA SATUAN'!$C$7:$C$1492,0),0))</f>
        <v>40000</v>
      </c>
      <c r="H44" s="361">
        <f t="shared" ca="1" si="16"/>
        <v>0</v>
      </c>
      <c r="I44" s="361">
        <f t="shared" ca="1" si="17"/>
        <v>80000</v>
      </c>
      <c r="J44" s="361">
        <f t="shared" ca="1" si="18"/>
        <v>0</v>
      </c>
      <c r="K44" s="362">
        <f t="shared" ca="1" si="19"/>
        <v>80000</v>
      </c>
    </row>
    <row r="45" spans="2:11">
      <c r="B45" s="504">
        <v>5</v>
      </c>
      <c r="C45" s="505" t="s">
        <v>26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497">
        <f>F40*1</f>
        <v>1</v>
      </c>
      <c r="G45" s="360">
        <f ca="1">IF(ISERROR(OFFSET('HARGA SATUAN'!$I$6,MATCH(RAB!C45,'HARGA SATUAN'!$C$7:$C$1492,0),0)),0,OFFSET('HARGA SATUAN'!$I$6,MATCH(RAB!C45,'HARGA SATUAN'!$C$7:$C$1492,0),0))</f>
        <v>2500</v>
      </c>
      <c r="H45" s="361">
        <f t="shared" ca="1" si="16"/>
        <v>0</v>
      </c>
      <c r="I45" s="361">
        <f t="shared" ca="1" si="17"/>
        <v>2500</v>
      </c>
      <c r="J45" s="361">
        <f t="shared" ca="1" si="18"/>
        <v>0</v>
      </c>
      <c r="K45" s="362">
        <f t="shared" ca="1" si="19"/>
        <v>2500</v>
      </c>
    </row>
    <row r="46" spans="2:11">
      <c r="B46" s="504">
        <v>6</v>
      </c>
      <c r="C46" s="505" t="s">
        <v>760</v>
      </c>
      <c r="D46" s="358" t="str">
        <f ca="1">IF(ISERROR(OFFSET('HARGA SATUAN'!$D$6,MATCH(RAB!C46,'HARGA SATUAN'!$C$7:$C$1492,0),0)),"",OFFSET('HARGA SATUAN'!$D$6,MATCH(RAB!C46,'HARGA SATUAN'!$C$7:$C$1492,0),0))</f>
        <v>JASA</v>
      </c>
      <c r="E46" s="359" t="str">
        <f ca="1">IF(B46="+","Unit",IF(ISERROR(OFFSET('HARGA SATUAN'!$E$6,MATCH(RAB!C46,'HARGA SATUAN'!$C$7:$C$1492,0),0)),"",OFFSET('HARGA SATUAN'!$E$6,MATCH(RAB!C46,'HARGA SATUAN'!$C$7:$C$1492,0),0)))</f>
        <v>Unit</v>
      </c>
      <c r="F46" s="497">
        <f>F40*1</f>
        <v>1</v>
      </c>
      <c r="G46" s="360">
        <f ca="1">IF(ISERROR(OFFSET('HARGA SATUAN'!$I$6,MATCH(RAB!C46,'HARGA SATUAN'!$C$7:$C$1492,0),0)),0,OFFSET('HARGA SATUAN'!$I$6,MATCH(RAB!C46,'HARGA SATUAN'!$C$7:$C$1492,0),0))</f>
        <v>36600</v>
      </c>
      <c r="H46" s="361">
        <f t="shared" ca="1" si="16"/>
        <v>0</v>
      </c>
      <c r="I46" s="361">
        <f t="shared" ca="1" si="17"/>
        <v>0</v>
      </c>
      <c r="J46" s="361">
        <f t="shared" ca="1" si="18"/>
        <v>36600</v>
      </c>
      <c r="K46" s="362">
        <f t="shared" ca="1" si="19"/>
        <v>36600</v>
      </c>
    </row>
    <row r="47" spans="2:11">
      <c r="B47" s="492"/>
      <c r="C47" s="495"/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/>
      </c>
      <c r="F47" s="368"/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ca="1" si="16"/>
        <v>0</v>
      </c>
      <c r="I47" s="361">
        <f t="shared" ca="1" si="17"/>
        <v>0</v>
      </c>
      <c r="J47" s="361">
        <f t="shared" ca="1" si="18"/>
        <v>0</v>
      </c>
      <c r="K47" s="362">
        <f t="shared" ca="1" si="19"/>
        <v>0</v>
      </c>
    </row>
    <row r="48" spans="2:11">
      <c r="B48" s="504" t="s">
        <v>1035</v>
      </c>
      <c r="C48" s="505" t="s">
        <v>1617</v>
      </c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>Unit</v>
      </c>
      <c r="F48" s="497">
        <f>F40</f>
        <v>1</v>
      </c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ca="1" si="16"/>
        <v>0</v>
      </c>
      <c r="I48" s="361">
        <f t="shared" ca="1" si="17"/>
        <v>0</v>
      </c>
      <c r="J48" s="361">
        <f t="shared" ca="1" si="18"/>
        <v>0</v>
      </c>
      <c r="K48" s="362">
        <f t="shared" ca="1" si="19"/>
        <v>0</v>
      </c>
    </row>
    <row r="49" spans="2:11">
      <c r="B49" s="506">
        <v>1</v>
      </c>
      <c r="C49" s="507" t="s">
        <v>597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497">
        <f>F48*1</f>
        <v>1</v>
      </c>
      <c r="G49" s="360">
        <f ca="1">IF(ISERROR(OFFSET('HARGA SATUAN'!$I$6,MATCH(RAB!C49,'HARGA SATUAN'!$C$7:$C$1492,0),0)),0,OFFSET('HARGA SATUAN'!$I$6,MATCH(RAB!C49,'HARGA SATUAN'!$C$7:$C$1492,0),0))</f>
        <v>120900</v>
      </c>
      <c r="H49" s="361">
        <f t="shared" ca="1" si="16"/>
        <v>0</v>
      </c>
      <c r="I49" s="361">
        <f t="shared" ca="1" si="17"/>
        <v>120900</v>
      </c>
      <c r="J49" s="361">
        <f t="shared" ca="1" si="18"/>
        <v>0</v>
      </c>
      <c r="K49" s="362">
        <f t="shared" ca="1" si="19"/>
        <v>120900</v>
      </c>
    </row>
    <row r="50" spans="2:11">
      <c r="B50" s="498">
        <v>2</v>
      </c>
      <c r="C50" s="500" t="s">
        <v>261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497">
        <f>F48*1</f>
        <v>1</v>
      </c>
      <c r="G50" s="360">
        <f ca="1">IF(ISERROR(OFFSET('HARGA SATUAN'!$I$6,MATCH(RAB!C50,'HARGA SATUAN'!$C$7:$C$1492,0),0)),0,OFFSET('HARGA SATUAN'!$I$6,MATCH(RAB!C50,'HARGA SATUAN'!$C$7:$C$1492,0),0))</f>
        <v>135800</v>
      </c>
      <c r="H50" s="361">
        <f t="shared" ca="1" si="16"/>
        <v>0</v>
      </c>
      <c r="I50" s="361">
        <f t="shared" ca="1" si="17"/>
        <v>135800</v>
      </c>
      <c r="J50" s="361">
        <f t="shared" ca="1" si="18"/>
        <v>0</v>
      </c>
      <c r="K50" s="362">
        <f t="shared" ca="1" si="19"/>
        <v>135800</v>
      </c>
    </row>
    <row r="51" spans="2:11">
      <c r="B51" s="498">
        <v>3</v>
      </c>
      <c r="C51" s="501" t="s">
        <v>214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8">
        <f>F48*1</f>
        <v>1</v>
      </c>
      <c r="G51" s="360">
        <f ca="1">IF(ISERROR(OFFSET('HARGA SATUAN'!$I$6,MATCH(RAB!C51,'HARGA SATUAN'!$C$7:$C$1492,0),0)),0,OFFSET('HARGA SATUAN'!$I$6,MATCH(RAB!C51,'HARGA SATUAN'!$C$7:$C$1492,0),0))</f>
        <v>4500</v>
      </c>
      <c r="H51" s="361">
        <f t="shared" ca="1" si="16"/>
        <v>0</v>
      </c>
      <c r="I51" s="361">
        <f t="shared" ca="1" si="17"/>
        <v>4500</v>
      </c>
      <c r="J51" s="361">
        <f t="shared" ca="1" si="18"/>
        <v>0</v>
      </c>
      <c r="K51" s="362">
        <f t="shared" ca="1" si="19"/>
        <v>4500</v>
      </c>
    </row>
    <row r="52" spans="2:11">
      <c r="B52" s="504">
        <v>4</v>
      </c>
      <c r="C52" s="505" t="s">
        <v>768</v>
      </c>
      <c r="D52" s="358" t="str">
        <f ca="1">IF(ISERROR(OFFSET('HARGA SATUAN'!$D$6,MATCH(RAB!C52,'HARGA SATUAN'!$C$7:$C$1492,0),0)),"",OFFSET('HARGA SATUAN'!$D$6,MATCH(RAB!C52,'HARGA SATUAN'!$C$7:$C$1492,0),0))</f>
        <v>JASA</v>
      </c>
      <c r="E52" s="359" t="str">
        <f ca="1">IF(B52="+","Unit",IF(ISERROR(OFFSET('HARGA SATUAN'!$E$6,MATCH(RAB!C52,'HARGA SATUAN'!$C$7:$C$1492,0),0)),"",OFFSET('HARGA SATUAN'!$E$6,MATCH(RAB!C52,'HARGA SATUAN'!$C$7:$C$1492,0),0)))</f>
        <v>Unit</v>
      </c>
      <c r="F52" s="497">
        <f>F48*1</f>
        <v>1</v>
      </c>
      <c r="G52" s="360">
        <f ca="1">IF(ISERROR(OFFSET('HARGA SATUAN'!$I$6,MATCH(RAB!C52,'HARGA SATUAN'!$C$7:$C$1492,0),0)),0,OFFSET('HARGA SATUAN'!$I$6,MATCH(RAB!C52,'HARGA SATUAN'!$C$7:$C$1492,0),0))</f>
        <v>55500</v>
      </c>
      <c r="H52" s="361">
        <f t="shared" ca="1" si="16"/>
        <v>0</v>
      </c>
      <c r="I52" s="361">
        <f t="shared" ca="1" si="17"/>
        <v>0</v>
      </c>
      <c r="J52" s="361">
        <f t="shared" ca="1" si="18"/>
        <v>55500</v>
      </c>
      <c r="K52" s="362">
        <f t="shared" ca="1" si="19"/>
        <v>55500</v>
      </c>
    </row>
    <row r="53" spans="2:11">
      <c r="B53" s="492"/>
      <c r="C53" s="495"/>
      <c r="D53" s="358" t="str">
        <f ca="1">IF(ISERROR(OFFSET('HARGA SATUAN'!$D$6,MATCH(RAB!C53,'HARGA SATUAN'!$C$7:$C$1492,0),0)),"",OFFSET('HARGA SATUAN'!$D$6,MATCH(RAB!C53,'HARGA SATUAN'!$C$7:$C$1492,0),0))</f>
        <v/>
      </c>
      <c r="E53" s="359" t="str">
        <f ca="1">IF(B53="+","Unit",IF(ISERROR(OFFSET('HARGA SATUAN'!$E$6,MATCH(RAB!C53,'HARGA SATUAN'!$C$7:$C$1492,0),0)),"",OFFSET('HARGA SATUAN'!$E$6,MATCH(RAB!C53,'HARGA SATUAN'!$C$7:$C$1492,0),0)))</f>
        <v/>
      </c>
      <c r="F53" s="368"/>
      <c r="G53" s="360">
        <f ca="1">IF(ISERROR(OFFSET('HARGA SATUAN'!$I$6,MATCH(RAB!C53,'HARGA SATUAN'!$C$7:$C$1492,0),0)),0,OFFSET('HARGA SATUAN'!$I$6,MATCH(RAB!C53,'HARGA SATUAN'!$C$7:$C$1492,0),0))</f>
        <v>0</v>
      </c>
      <c r="H53" s="361">
        <f t="shared" ca="1" si="16"/>
        <v>0</v>
      </c>
      <c r="I53" s="361">
        <f t="shared" ca="1" si="17"/>
        <v>0</v>
      </c>
      <c r="J53" s="361">
        <f t="shared" ca="1" si="18"/>
        <v>0</v>
      </c>
      <c r="K53" s="362">
        <f t="shared" ca="1" si="19"/>
        <v>0</v>
      </c>
    </row>
    <row r="54" spans="2:11">
      <c r="B54" s="504" t="s">
        <v>1035</v>
      </c>
      <c r="C54" s="505" t="s">
        <v>1618</v>
      </c>
      <c r="D54" s="358" t="str">
        <f ca="1">IF(ISERROR(OFFSET('HARGA SATUAN'!$D$6,MATCH(RAB!C54,'HARGA SATUAN'!$C$7:$C$1492,0),0)),"",OFFSET('HARGA SATUAN'!$D$6,MATCH(RAB!C54,'HARGA SATUAN'!$C$7:$C$1492,0),0))</f>
        <v/>
      </c>
      <c r="E54" s="359" t="str">
        <f ca="1">IF(B54="+","Unit",IF(ISERROR(OFFSET('HARGA SATUAN'!$E$6,MATCH(RAB!C54,'HARGA SATUAN'!$C$7:$C$1492,0),0)),"",OFFSET('HARGA SATUAN'!$E$6,MATCH(RAB!C54,'HARGA SATUAN'!$C$7:$C$1492,0),0)))</f>
        <v>Unit</v>
      </c>
      <c r="F54" s="497">
        <f>F40</f>
        <v>1</v>
      </c>
      <c r="G54" s="360">
        <f ca="1">IF(ISERROR(OFFSET('HARGA SATUAN'!$I$6,MATCH(RAB!C54,'HARGA SATUAN'!$C$7:$C$1492,0),0)),0,OFFSET('HARGA SATUAN'!$I$6,MATCH(RAB!C54,'HARGA SATUAN'!$C$7:$C$1492,0),0))</f>
        <v>0</v>
      </c>
      <c r="H54" s="361">
        <f t="shared" ca="1" si="16"/>
        <v>0</v>
      </c>
      <c r="I54" s="361">
        <f t="shared" ca="1" si="17"/>
        <v>0</v>
      </c>
      <c r="J54" s="361">
        <f t="shared" ca="1" si="18"/>
        <v>0</v>
      </c>
      <c r="K54" s="362">
        <f t="shared" ca="1" si="19"/>
        <v>0</v>
      </c>
    </row>
    <row r="55" spans="2:11">
      <c r="B55" s="504">
        <v>1</v>
      </c>
      <c r="C55" s="505" t="s">
        <v>30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497">
        <f>F54*1</f>
        <v>1</v>
      </c>
      <c r="G55" s="360">
        <f ca="1">IF(ISERROR(OFFSET('HARGA SATUAN'!$I$6,MATCH(RAB!C55,'HARGA SATUAN'!$C$7:$C$1492,0),0)),0,OFFSET('HARGA SATUAN'!$I$6,MATCH(RAB!C55,'HARGA SATUAN'!$C$7:$C$1492,0),0))</f>
        <v>47459</v>
      </c>
      <c r="H55" s="361">
        <f t="shared" ca="1" si="16"/>
        <v>0</v>
      </c>
      <c r="I55" s="361">
        <f t="shared" ca="1" si="17"/>
        <v>47459</v>
      </c>
      <c r="J55" s="361">
        <f t="shared" ca="1" si="18"/>
        <v>0</v>
      </c>
      <c r="K55" s="362">
        <f t="shared" ca="1" si="19"/>
        <v>47459</v>
      </c>
    </row>
    <row r="56" spans="2:11">
      <c r="B56" s="504">
        <v>2</v>
      </c>
      <c r="C56" s="505" t="s">
        <v>32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Mtr</v>
      </c>
      <c r="F56" s="497">
        <f>F54*1</f>
        <v>1</v>
      </c>
      <c r="G56" s="360">
        <f ca="1">IF(ISERROR(OFFSET('HARGA SATUAN'!$I$6,MATCH(RAB!C56,'HARGA SATUAN'!$C$7:$C$1492,0),0)),0,OFFSET('HARGA SATUAN'!$I$6,MATCH(RAB!C56,'HARGA SATUAN'!$C$7:$C$1492,0),0))</f>
        <v>30000</v>
      </c>
      <c r="H56" s="361">
        <f t="shared" ca="1" si="16"/>
        <v>0</v>
      </c>
      <c r="I56" s="361">
        <f t="shared" ca="1" si="17"/>
        <v>30000</v>
      </c>
      <c r="J56" s="361">
        <f t="shared" ca="1" si="18"/>
        <v>0</v>
      </c>
      <c r="K56" s="362">
        <f t="shared" ca="1" si="19"/>
        <v>30000</v>
      </c>
    </row>
    <row r="57" spans="2:11">
      <c r="B57" s="504">
        <v>3</v>
      </c>
      <c r="C57" s="505" t="s">
        <v>33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497">
        <f>F54*1</f>
        <v>1</v>
      </c>
      <c r="G57" s="360">
        <f ca="1">IF(ISERROR(OFFSET('HARGA SATUAN'!$I$6,MATCH(RAB!C57,'HARGA SATUAN'!$C$7:$C$1492,0),0)),0,OFFSET('HARGA SATUAN'!$I$6,MATCH(RAB!C57,'HARGA SATUAN'!$C$7:$C$1492,0),0))</f>
        <v>9500</v>
      </c>
      <c r="H57" s="361">
        <f t="shared" ca="1" si="16"/>
        <v>0</v>
      </c>
      <c r="I57" s="361">
        <f t="shared" ca="1" si="17"/>
        <v>9500</v>
      </c>
      <c r="J57" s="361">
        <f t="shared" ca="1" si="18"/>
        <v>0</v>
      </c>
      <c r="K57" s="362">
        <f t="shared" ca="1" si="19"/>
        <v>9500</v>
      </c>
    </row>
    <row r="58" spans="2:11">
      <c r="B58" s="504">
        <v>4</v>
      </c>
      <c r="C58" s="505" t="s">
        <v>738</v>
      </c>
      <c r="D58" s="358" t="str">
        <f ca="1">IF(ISERROR(OFFSET('HARGA SATUAN'!$D$6,MATCH(RAB!C58,'HARGA SATUAN'!$C$7:$C$1492,0),0)),"",OFFSET('HARGA SATUAN'!$D$6,MATCH(RAB!C58,'HARGA SATUAN'!$C$7:$C$1492,0),0))</f>
        <v>JASA</v>
      </c>
      <c r="E58" s="359" t="str">
        <f ca="1">IF(B58="+","Unit",IF(ISERROR(OFFSET('HARGA SATUAN'!$E$6,MATCH(RAB!C58,'HARGA SATUAN'!$C$7:$C$1492,0),0)),"",OFFSET('HARGA SATUAN'!$E$6,MATCH(RAB!C58,'HARGA SATUAN'!$C$7:$C$1492,0),0)))</f>
        <v>Unit</v>
      </c>
      <c r="F58" s="497">
        <f>F54*1</f>
        <v>1</v>
      </c>
      <c r="G58" s="360">
        <f ca="1">IF(ISERROR(OFFSET('HARGA SATUAN'!$I$6,MATCH(RAB!C58,'HARGA SATUAN'!$C$7:$C$1492,0),0)),0,OFFSET('HARGA SATUAN'!$I$6,MATCH(RAB!C58,'HARGA SATUAN'!$C$7:$C$1492,0),0))</f>
        <v>21200</v>
      </c>
      <c r="H58" s="361">
        <f t="shared" ca="1" si="16"/>
        <v>0</v>
      </c>
      <c r="I58" s="361">
        <f t="shared" ca="1" si="17"/>
        <v>0</v>
      </c>
      <c r="J58" s="361">
        <f t="shared" ca="1" si="18"/>
        <v>21200</v>
      </c>
      <c r="K58" s="362">
        <f t="shared" ca="1" si="19"/>
        <v>21200</v>
      </c>
    </row>
    <row r="59" spans="2:11">
      <c r="B59" s="492"/>
      <c r="C59" s="495"/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368"/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16"/>
        <v>0</v>
      </c>
      <c r="I59" s="361">
        <f t="shared" ca="1" si="17"/>
        <v>0</v>
      </c>
      <c r="J59" s="361">
        <f t="shared" ca="1" si="18"/>
        <v>0</v>
      </c>
      <c r="K59" s="362">
        <f t="shared" ca="1" si="19"/>
        <v>0</v>
      </c>
    </row>
    <row r="60" spans="2:11">
      <c r="B60" s="366" t="s">
        <v>1608</v>
      </c>
      <c r="C60" s="367" t="s">
        <v>1611</v>
      </c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/>
      </c>
      <c r="F60" s="368"/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16"/>
        <v>0</v>
      </c>
      <c r="I60" s="361">
        <f t="shared" ca="1" si="17"/>
        <v>0</v>
      </c>
      <c r="J60" s="361">
        <f t="shared" ca="1" si="18"/>
        <v>0</v>
      </c>
      <c r="K60" s="362">
        <f t="shared" ca="1" si="19"/>
        <v>0</v>
      </c>
    </row>
    <row r="61" spans="2:11">
      <c r="B61" s="492"/>
      <c r="C61" s="495"/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/>
      </c>
      <c r="F61" s="368"/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ca="1" si="16"/>
        <v>0</v>
      </c>
      <c r="I61" s="361">
        <f t="shared" ca="1" si="17"/>
        <v>0</v>
      </c>
      <c r="J61" s="361">
        <f t="shared" ca="1" si="18"/>
        <v>0</v>
      </c>
      <c r="K61" s="362">
        <f t="shared" ca="1" si="19"/>
        <v>0</v>
      </c>
    </row>
    <row r="62" spans="2:11">
      <c r="B62" s="493" t="s">
        <v>1609</v>
      </c>
      <c r="C62" s="496" t="s">
        <v>1611</v>
      </c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/>
      </c>
      <c r="F62" s="368"/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ref="H62:H63" ca="1" si="20">IF(OR(D62="MDU",D62="MDU-KD"),(IF($O$3="RAB NON MDU","PLN KD",G62*F62)),0)</f>
        <v>0</v>
      </c>
      <c r="I62" s="361">
        <f t="shared" ref="I62:I63" ca="1" si="21">IF(D62="HDW",G62*F62,0)</f>
        <v>0</v>
      </c>
      <c r="J62" s="361">
        <f t="shared" ref="J62:J63" ca="1" si="22">IF(D62="JASA",G62*F62,0)</f>
        <v>0</v>
      </c>
      <c r="K62" s="362">
        <f t="shared" ref="K62:K63" ca="1" si="23">SUM(H62:J62)</f>
        <v>0</v>
      </c>
    </row>
    <row r="63" spans="2:11">
      <c r="B63" s="493" t="s">
        <v>1035</v>
      </c>
      <c r="C63" s="494" t="s">
        <v>1626</v>
      </c>
      <c r="D63" s="358" t="str">
        <f ca="1">IF(ISERROR(OFFSET('HARGA SATUAN'!$D$6,MATCH(RAB!C63,'HARGA SATUAN'!$C$7:$C$1492,0),0)),"",OFFSET('HARGA SATUAN'!$D$6,MATCH(RAB!C63,'HARGA SATUAN'!$C$7:$C$1492,0),0))</f>
        <v/>
      </c>
      <c r="E63" s="359" t="str">
        <f ca="1">IF(B63="+","Unit",IF(ISERROR(OFFSET('HARGA SATUAN'!$E$6,MATCH(RAB!C63,'HARGA SATUAN'!$C$7:$C$1492,0),0)),"",OFFSET('HARGA SATUAN'!$E$6,MATCH(RAB!C63,'HARGA SATUAN'!$C$7:$C$1492,0),0)))</f>
        <v>Unit</v>
      </c>
      <c r="F63" s="511">
        <v>9</v>
      </c>
      <c r="G63" s="360">
        <f ca="1">IF(ISERROR(OFFSET('HARGA SATUAN'!$I$6,MATCH(RAB!C63,'HARGA SATUAN'!$C$7:$C$1492,0),0)),0,OFFSET('HARGA SATUAN'!$I$6,MATCH(RAB!C63,'HARGA SATUAN'!$C$7:$C$1492,0),0))</f>
        <v>0</v>
      </c>
      <c r="H63" s="361">
        <f t="shared" ca="1" si="20"/>
        <v>0</v>
      </c>
      <c r="I63" s="361">
        <f t="shared" ca="1" si="21"/>
        <v>0</v>
      </c>
      <c r="J63" s="361">
        <f t="shared" ca="1" si="22"/>
        <v>0</v>
      </c>
      <c r="K63" s="362">
        <f t="shared" ca="1" si="23"/>
        <v>0</v>
      </c>
    </row>
    <row r="64" spans="2:11">
      <c r="B64" s="510">
        <v>1</v>
      </c>
      <c r="C64" s="109" t="s">
        <v>482</v>
      </c>
      <c r="D64" s="358" t="str">
        <f ca="1">IF(ISERROR(OFFSET('HARGA SATUAN'!$D$6,MATCH(RAB!C64,'HARGA SATUAN'!$C$7:$C$1492,0),0)),"",OFFSET('HARGA SATUAN'!$D$6,MATCH(RAB!C64,'HARGA SATUAN'!$C$7:$C$1492,0),0))</f>
        <v>MDU-KD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511">
        <f>F63*1</f>
        <v>9</v>
      </c>
      <c r="G64" s="360">
        <f ca="1">IF(ISERROR(OFFSET('HARGA SATUAN'!$I$6,MATCH(RAB!C64,'HARGA SATUAN'!$C$7:$C$1492,0),0)),0,OFFSET('HARGA SATUAN'!$I$6,MATCH(RAB!C64,'HARGA SATUAN'!$C$7:$C$1492,0),0))</f>
        <v>327600</v>
      </c>
      <c r="H64" s="361">
        <f t="shared" ref="H64:H67" ca="1" si="24">IF(OR(D64="MDU",D64="MDU-KD"),(IF($O$3="RAB NON MDU","PLN KD",G64*F64)),0)</f>
        <v>2948400</v>
      </c>
      <c r="I64" s="361">
        <f t="shared" ref="I64:I67" ca="1" si="25">IF(D64="HDW",G64*F64,0)</f>
        <v>0</v>
      </c>
      <c r="J64" s="361">
        <f t="shared" ref="J64:J67" ca="1" si="26">IF(D64="JASA",G64*F64,0)</f>
        <v>0</v>
      </c>
      <c r="K64" s="362">
        <f t="shared" ref="K64:K67" ca="1" si="27">SUM(H64:J64)</f>
        <v>2948400</v>
      </c>
    </row>
    <row r="65" spans="2:13">
      <c r="B65" s="510">
        <v>2</v>
      </c>
      <c r="C65" s="513" t="s">
        <v>487</v>
      </c>
      <c r="D65" s="358" t="str">
        <f ca="1">IF(ISERROR(OFFSET('HARGA SATUAN'!$D$6,MATCH(RAB!C65,'HARGA SATUAN'!$C$7:$C$1492,0),0)),"",OFFSET('HARGA SATUAN'!$D$6,MATCH(RAB!C65,'HARGA SATUAN'!$C$7:$C$1492,0),0))</f>
        <v>MDU-KD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11">
        <f>F63*1</f>
        <v>9</v>
      </c>
      <c r="G65" s="360">
        <f ca="1">IF(ISERROR(OFFSET('HARGA SATUAN'!$I$6,MATCH(RAB!C65,'HARGA SATUAN'!$C$7:$C$1492,0),0)),0,OFFSET('HARGA SATUAN'!$I$6,MATCH(RAB!C65,'HARGA SATUAN'!$C$7:$C$1492,0),0))</f>
        <v>39000</v>
      </c>
      <c r="H65" s="361">
        <f t="shared" ca="1" si="24"/>
        <v>351000</v>
      </c>
      <c r="I65" s="361">
        <f t="shared" ca="1" si="25"/>
        <v>0</v>
      </c>
      <c r="J65" s="361">
        <f t="shared" ca="1" si="26"/>
        <v>0</v>
      </c>
      <c r="K65" s="362">
        <f t="shared" ca="1" si="27"/>
        <v>351000</v>
      </c>
    </row>
    <row r="66" spans="2:13">
      <c r="B66" s="510">
        <v>3</v>
      </c>
      <c r="C66" s="513" t="s">
        <v>73</v>
      </c>
      <c r="D66" s="358" t="str">
        <f ca="1">IF(ISERROR(OFFSET('HARGA SATUAN'!$D$6,MATCH(RAB!C66,'HARGA SATUAN'!$C$7:$C$1492,0),0)),"",OFFSET('HARGA SATUAN'!$D$6,MATCH(RAB!C66,'HARGA SATUAN'!$C$7:$C$1492,0),0))</f>
        <v>MDU-KD</v>
      </c>
      <c r="E66" s="359" t="str">
        <f ca="1">IF(B66="+","Unit",IF(ISERROR(OFFSET('HARGA SATUAN'!$E$6,MATCH(RAB!C66,'HARGA SATUAN'!$C$7:$C$1492,0),0)),"",OFFSET('HARGA SATUAN'!$E$6,MATCH(RAB!C66,'HARGA SATUAN'!$C$7:$C$1492,0),0)))</f>
        <v>Mtr</v>
      </c>
      <c r="F66" s="511">
        <f>F63*35</f>
        <v>315</v>
      </c>
      <c r="G66" s="360">
        <f ca="1">IF(ISERROR(OFFSET('HARGA SATUAN'!$I$6,MATCH(RAB!C66,'HARGA SATUAN'!$C$7:$C$1492,0),0)),0,OFFSET('HARGA SATUAN'!$I$6,MATCH(RAB!C66,'HARGA SATUAN'!$C$7:$C$1492,0),0))</f>
        <v>4300</v>
      </c>
      <c r="H66" s="361">
        <f t="shared" ca="1" si="24"/>
        <v>1354500</v>
      </c>
      <c r="I66" s="361">
        <f t="shared" ca="1" si="25"/>
        <v>0</v>
      </c>
      <c r="J66" s="361">
        <f t="shared" ca="1" si="26"/>
        <v>0</v>
      </c>
      <c r="K66" s="362">
        <f t="shared" ca="1" si="27"/>
        <v>1354500</v>
      </c>
    </row>
    <row r="67" spans="2:13">
      <c r="B67" s="510">
        <v>4</v>
      </c>
      <c r="C67" s="512" t="s">
        <v>798</v>
      </c>
      <c r="D67" s="358" t="str">
        <f ca="1">IF(ISERROR(OFFSET('HARGA SATUAN'!$D$6,MATCH(RAB!C67,'HARGA SATUAN'!$C$7:$C$1492,0),0)),"",OFFSET('HARGA SATUAN'!$D$6,MATCH(RAB!C67,'HARGA SATUAN'!$C$7:$C$1492,0),0))</f>
        <v>JASA</v>
      </c>
      <c r="E67" s="359" t="str">
        <f ca="1">IF(B67="+","Unit",IF(ISERROR(OFFSET('HARGA SATUAN'!$E$6,MATCH(RAB!C67,'HARGA SATUAN'!$C$7:$C$1492,0),0)),"",OFFSET('HARGA SATUAN'!$E$6,MATCH(RAB!C67,'HARGA SATUAN'!$C$7:$C$1492,0),0)))</f>
        <v>Unit</v>
      </c>
      <c r="F67" s="511">
        <f>F63*1</f>
        <v>9</v>
      </c>
      <c r="G67" s="360">
        <f ca="1">IF(ISERROR(OFFSET('HARGA SATUAN'!$I$6,MATCH(RAB!C67,'HARGA SATUAN'!$C$7:$C$1492,0),0)),0,OFFSET('HARGA SATUAN'!$I$6,MATCH(RAB!C67,'HARGA SATUAN'!$C$7:$C$1492,0),0))</f>
        <v>54400</v>
      </c>
      <c r="H67" s="361">
        <f t="shared" ca="1" si="24"/>
        <v>0</v>
      </c>
      <c r="I67" s="361">
        <f t="shared" ca="1" si="25"/>
        <v>0</v>
      </c>
      <c r="J67" s="361">
        <f t="shared" ca="1" si="26"/>
        <v>489600</v>
      </c>
      <c r="K67" s="362">
        <f t="shared" ca="1" si="27"/>
        <v>489600</v>
      </c>
    </row>
    <row r="68" spans="2:13">
      <c r="B68" s="373">
        <v>5</v>
      </c>
      <c r="C68" s="509" t="s">
        <v>981</v>
      </c>
      <c r="D68" s="358" t="str">
        <f ca="1">IF(ISERROR(OFFSET('HARGA SATUAN'!$D$6,MATCH(RAB!C68,'HARGA SATUAN'!$C$7:$C$1492,0),0)),"",OFFSET('HARGA SATUAN'!$D$6,MATCH(RAB!C68,'HARGA SATUAN'!$C$7:$C$1492,0),0))</f>
        <v>JASA</v>
      </c>
      <c r="E68" s="359" t="str">
        <f ca="1">IF(B68="+","Unit",IF(ISERROR(OFFSET('HARGA SATUAN'!$E$6,MATCH(RAB!C68,'HARGA SATUAN'!$C$7:$C$1492,0),0)),"",OFFSET('HARGA SATUAN'!$E$6,MATCH(RAB!C68,'HARGA SATUAN'!$C$7:$C$1492,0),0)))</f>
        <v>Unit</v>
      </c>
      <c r="F68" s="368">
        <v>1</v>
      </c>
      <c r="G68" s="360">
        <f ca="1">IF(ISERROR(OFFSET('HARGA SATUAN'!$I$6,MATCH(RAB!C68,'HARGA SATUAN'!$C$7:$C$1492,0),0)),0,OFFSET('HARGA SATUAN'!$I$6,MATCH(RAB!C68,'HARGA SATUAN'!$C$7:$C$1492,0),0))</f>
        <v>32640</v>
      </c>
      <c r="H68" s="361">
        <f t="shared" ref="H68:H70" ca="1" si="28">IF(OR(D68="MDU",D68="MDU-KD"),(IF($O$3="RAB NON MDU","PLN KD",G68*F68)),0)</f>
        <v>0</v>
      </c>
      <c r="I68" s="361">
        <f t="shared" ref="I68:I70" ca="1" si="29">IF(D68="HDW",G68*F68,0)</f>
        <v>0</v>
      </c>
      <c r="J68" s="361">
        <f t="shared" ref="J68:J70" ca="1" si="30">IF(D68="JASA",G68*F68,0)</f>
        <v>32640</v>
      </c>
      <c r="K68" s="362">
        <f t="shared" ref="K68:K70" ca="1" si="31">SUM(H68:J68)</f>
        <v>32640</v>
      </c>
    </row>
    <row r="69" spans="2:13">
      <c r="B69" s="373"/>
      <c r="C69" s="372"/>
      <c r="D69" s="358"/>
      <c r="E69" s="359"/>
      <c r="F69" s="368"/>
      <c r="G69" s="360"/>
      <c r="H69" s="361"/>
      <c r="I69" s="361"/>
      <c r="J69" s="361"/>
      <c r="K69" s="362"/>
    </row>
    <row r="70" spans="2:13">
      <c r="B70" s="366" t="s">
        <v>22</v>
      </c>
      <c r="C70" s="367" t="s">
        <v>1610</v>
      </c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/>
      </c>
      <c r="F70" s="368"/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ca="1" si="28"/>
        <v>0</v>
      </c>
      <c r="I70" s="361">
        <f t="shared" ca="1" si="29"/>
        <v>0</v>
      </c>
      <c r="J70" s="361">
        <f t="shared" ca="1" si="30"/>
        <v>0</v>
      </c>
      <c r="K70" s="362">
        <f t="shared" ca="1" si="31"/>
        <v>0</v>
      </c>
    </row>
    <row r="71" spans="2:13">
      <c r="B71" s="373"/>
      <c r="C71" s="372"/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/>
      </c>
      <c r="F71" s="368"/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ref="H71:H72" ca="1" si="32">IF(OR(D71="MDU",D71="MDU-KD"),(IF($O$3="RAB NON MDU","PLN KD",G71*F71)),0)</f>
        <v>0</v>
      </c>
      <c r="I71" s="361">
        <f t="shared" ref="I71:I72" ca="1" si="33">IF(D71="HDW",G71*F71,0)</f>
        <v>0</v>
      </c>
      <c r="J71" s="361">
        <f t="shared" ref="J71:J72" ca="1" si="34">IF(D71="JASA",G71*F71,0)</f>
        <v>0</v>
      </c>
      <c r="K71" s="362">
        <f t="shared" ref="K71:K72" ca="1" si="35">SUM(H71:J71)</f>
        <v>0</v>
      </c>
    </row>
    <row r="72" spans="2:13">
      <c r="B72" s="374"/>
      <c r="C72" s="375" t="s">
        <v>475</v>
      </c>
      <c r="D72" s="358" t="str">
        <f ca="1">IF(ISERROR(OFFSET('HARGA SATUAN'!$D$6,MATCH(RAB!C72,'HARGA SATUAN'!$C$7:$C$1492,0),0)),"",OFFSET('HARGA SATUAN'!$D$6,MATCH(RAB!C72,'HARGA SATUAN'!$C$7:$C$1492,0),0))</f>
        <v/>
      </c>
      <c r="E72" s="359" t="str">
        <f ca="1">IF(B72="+","Unit",IF(ISERROR(OFFSET('HARGA SATUAN'!$E$6,MATCH(RAB!C72,'HARGA SATUAN'!$C$7:$C$1492,0),0)),"",OFFSET('HARGA SATUAN'!$E$6,MATCH(RAB!C72,'HARGA SATUAN'!$C$7:$C$1492,0),0)))</f>
        <v/>
      </c>
      <c r="F72" s="368"/>
      <c r="G72" s="360">
        <f ca="1">IF(ISERROR(OFFSET('HARGA SATUAN'!$I$6,MATCH(RAB!C72,'HARGA SATUAN'!$C$7:$C$1492,0),0)),0,OFFSET('HARGA SATUAN'!$I$6,MATCH(RAB!C72,'HARGA SATUAN'!$C$7:$C$1492,0),0))</f>
        <v>0</v>
      </c>
      <c r="H72" s="361">
        <f t="shared" ca="1" si="32"/>
        <v>0</v>
      </c>
      <c r="I72" s="361">
        <f t="shared" ca="1" si="33"/>
        <v>0</v>
      </c>
      <c r="J72" s="361">
        <f t="shared" ca="1" si="34"/>
        <v>0</v>
      </c>
      <c r="K72" s="362">
        <f t="shared" ca="1" si="35"/>
        <v>0</v>
      </c>
    </row>
    <row r="73" spans="2:13">
      <c r="B73" s="377">
        <v>1</v>
      </c>
      <c r="C73" s="378" t="s">
        <v>1091</v>
      </c>
      <c r="D73" s="379" t="str">
        <f ca="1">IF(ISERROR(OFFSET('HARGA SATUAN'!$D$6,MATCH(RAB!C73,'HARGA SATUAN'!$C$7:$C$1492,0),0)),"",OFFSET('HARGA SATUAN'!$D$6,MATCH(RAB!C73,'HARGA SATUAN'!$C$7:$C$1492,0),0))</f>
        <v>JASA</v>
      </c>
      <c r="E73" s="380" t="str">
        <f ca="1">IF(ISERROR(OFFSET('HARGA SATUAN'!$E$6,MATCH(RAB!C73,'HARGA SATUAN'!$C$7:$C$1492,0),0)),"",OFFSET('HARGA SATUAN'!$E$6,MATCH(RAB!C73,'HARGA SATUAN'!$C$7:$C$1492,0),0))</f>
        <v>Lot</v>
      </c>
      <c r="F73" s="381">
        <v>1</v>
      </c>
      <c r="G73" s="382">
        <f ca="1">IF(ISERROR(OFFSET('HARGA SATUAN'!$I$6,MATCH(RAB!C73,'HARGA SATUAN'!$C$7:$C$1492,0),0)),0,OFFSET('HARGA SATUAN'!$I$6,MATCH(RAB!C73,'HARGA SATUAN'!$C$7:$C$1492,0),0))</f>
        <v>2.5000000000000001E-2</v>
      </c>
      <c r="H73" s="383"/>
      <c r="I73" s="383"/>
      <c r="J73" s="383">
        <f ca="1">SUM(K15:K19)*G73</f>
        <v>339266.66666666669</v>
      </c>
      <c r="K73" s="384">
        <f ca="1">SUM(K14:K72)*2.5%</f>
        <v>620528.6416666666</v>
      </c>
    </row>
    <row r="74" spans="2:13">
      <c r="B74" s="385"/>
      <c r="C74" s="386"/>
      <c r="D74" s="358" t="str">
        <f ca="1">IF(ISERROR(OFFSET('HARGA SATUAN'!$D$6,MATCH(RAB!C74,'HARGA SATUAN'!$C$7:$C$1492,0),0)),"",OFFSET('HARGA SATUAN'!$D$6,MATCH(RAB!C74,'HARGA SATUAN'!$C$7:$C$1492,0),0))</f>
        <v/>
      </c>
      <c r="E74" s="359" t="str">
        <f ca="1">IF(ISERROR(OFFSET('HARGA SATUAN'!$E$6,MATCH(RAB!C74,'HARGA SATUAN'!$C$7:$C$1492,0),0)),"",OFFSET('HARGA SATUAN'!$E$6,MATCH(RAB!C74,'HARGA SATUAN'!$C$7:$C$1492,0),0))</f>
        <v/>
      </c>
      <c r="F74" s="376"/>
      <c r="G74" s="360" t="str">
        <f ca="1">IF(ISERROR(OFFSET('HARGA SATUAN'!$I$6,MATCH(RAB!C74,'HARGA SATUAN'!$C$7:$C$1492,0),0)),"",OFFSET('HARGA SATUAN'!$I$6,MATCH(RAB!C74,'HARGA SATUAN'!$C$7:$C$1492,0),0))</f>
        <v/>
      </c>
      <c r="H74" s="361">
        <f ca="1">IF(OR(D74="MDU",D74="MDU-KD"),IF(G74="PLN",0,G74*F74),0)</f>
        <v>0</v>
      </c>
      <c r="I74" s="361">
        <f ca="1">IF(D74="HDW",IF(G74="PLN",0,G74*F74),0)</f>
        <v>0</v>
      </c>
      <c r="J74" s="361">
        <f ca="1">IF(D74="JASA",IF(G74="PLN",0,G74*F74),0)</f>
        <v>0</v>
      </c>
      <c r="K74" s="362">
        <f ca="1">SUM(H74:J74)</f>
        <v>0</v>
      </c>
    </row>
    <row r="75" spans="2:13" ht="15.75" thickBot="1">
      <c r="B75" s="387"/>
      <c r="C75" s="388"/>
      <c r="D75" s="389"/>
      <c r="E75" s="390"/>
      <c r="F75" s="390"/>
      <c r="G75" s="390"/>
      <c r="H75" s="391"/>
      <c r="I75" s="391"/>
      <c r="J75" s="391"/>
      <c r="K75" s="392"/>
    </row>
    <row r="76" spans="2:13">
      <c r="B76" s="393"/>
      <c r="C76" s="632" t="s">
        <v>1008</v>
      </c>
      <c r="D76" s="632"/>
      <c r="E76" s="632"/>
      <c r="F76" s="632"/>
      <c r="G76" s="394" t="s">
        <v>9</v>
      </c>
      <c r="H76" s="395">
        <f ca="1">SUM(H14:H74)</f>
        <v>8301900</v>
      </c>
      <c r="I76" s="395">
        <f ca="1">SUM(I14:I74)</f>
        <v>15105439</v>
      </c>
      <c r="J76" s="395">
        <f ca="1">SUM(J14:J74)</f>
        <v>1753073.3333333335</v>
      </c>
      <c r="K76" s="395">
        <f ca="1">SUM(K14:K74)</f>
        <v>25441674.30833333</v>
      </c>
    </row>
    <row r="77" spans="2:13">
      <c r="B77" s="396"/>
      <c r="C77" s="615" t="s">
        <v>1457</v>
      </c>
      <c r="D77" s="615"/>
      <c r="E77" s="615"/>
      <c r="F77" s="615"/>
      <c r="G77" s="397" t="s">
        <v>9</v>
      </c>
      <c r="H77" s="398">
        <f ca="1">H76*0.11</f>
        <v>913209</v>
      </c>
      <c r="I77" s="398">
        <f ca="1">I76*0.11</f>
        <v>1661598.29</v>
      </c>
      <c r="J77" s="398">
        <f ca="1">J76*0.11</f>
        <v>192838.06666666668</v>
      </c>
      <c r="K77" s="398">
        <f ca="1">K76*0.11</f>
        <v>2798584.1739166663</v>
      </c>
    </row>
    <row r="78" spans="2:13" ht="15.75" thickBot="1">
      <c r="B78" s="396"/>
      <c r="C78" s="613" t="s">
        <v>463</v>
      </c>
      <c r="D78" s="613"/>
      <c r="E78" s="613"/>
      <c r="F78" s="613"/>
      <c r="G78" s="399" t="s">
        <v>9</v>
      </c>
      <c r="H78" s="400">
        <f ca="1">SUM(H76:H77)</f>
        <v>9215109</v>
      </c>
      <c r="I78" s="400">
        <f ca="1">SUM(I76:I77)</f>
        <v>16767037.289999999</v>
      </c>
      <c r="J78" s="399">
        <f ca="1">SUM(J76:J77)</f>
        <v>1945911.4000000001</v>
      </c>
      <c r="K78" s="399">
        <f ca="1">SUM(K76:K77)</f>
        <v>28240258.482249998</v>
      </c>
      <c r="M78" s="482"/>
    </row>
    <row r="79" spans="2:13">
      <c r="B79" s="616" t="str">
        <f ca="1">"Terbilang : "&amp;PROPER(IF(K78=0,"nol",IF(K78&lt;0,"minus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IF(--MID(TEXT(ABS(K78),"000000000000000"),1,3)=0,"",MID(TEXT(ABS(K78),"000000000000000"),1,1)&amp;" ratus "&amp;MID(TEXT(ABS(K78),"000000000000000"),2,1)&amp;" puluh "&amp;MID(TEXT(ABS(K78),"000000000000000"),3,1)&amp;" trilyun ")&amp; IF(--MID(TEXT(ABS(K78),"000000000000000"),4,3)=0,"",MID(TEXT(ABS(K78),"000000000000000"),4,1)&amp;" ratus "&amp;MID(TEXT(ABS(K78),"000000000000000"),5,1)&amp;" puluh "&amp;MID(TEXT(ABS(K78),"000000000000000"),6,1)&amp;" milyar ")&amp; IF(--MID(TEXT(ABS(K78),"000000000000000"),7,3)=0,"",MID(TEXT(ABS(K78),"000000000000000"),7,1)&amp;" ratus "&amp;MID(TEXT(ABS(K78),"000000000000000"),8,1)&amp;" puluh "&amp;MID(TEXT(ABS(K78),"000000000000000"),9,1)&amp;" juta ")&amp; IF(--MID(TEXT(ABS(K78),"000000000000000"),10,3)=0,"",IF(--MID(TEXT(ABS(K78),"000000000000000"),10,3)=1,"*",MID(TEXT(ABS(K78),"000000000000000"),10,1)&amp;" ratus "&amp;MID(TEXT(ABS(K78),"000000000000000"),11,1)&amp;" puluh ")&amp;MID(TEXT(ABS(K78),"000000000000000"),12,1)&amp;" ribu ")&amp; IF(--MID(TEXT(ABS(K78),"000000000000000"),13,3)=0,"",MID(TEXT(ABS(K78),"000000000000000"),13,1)&amp;" ratus "&amp;MID(TEXT(ABS(K78),"000000000000000"),14,1)&amp;" puluh "&amp;MID(TEXT(ABS(K78),"000000000000000"),15,1)),1,"satu"),2,"dua"),3,"tiga"),4,"empat"),5,"lima"),6,"enam"),7,"tujuh"),8,"delapan"),9,"sembilan"),"0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Delapan Juta Dua Ratus Empat Puluh Ribu Dua Ratus Lima Puluh Delapan Rupiah</v>
      </c>
      <c r="C79" s="617"/>
      <c r="D79" s="617"/>
      <c r="E79" s="617"/>
      <c r="F79" s="617"/>
      <c r="G79" s="617"/>
      <c r="H79" s="617"/>
      <c r="I79" s="617"/>
      <c r="J79" s="617"/>
      <c r="K79" s="618"/>
    </row>
    <row r="80" spans="2:13">
      <c r="B80" s="619"/>
      <c r="C80" s="620"/>
      <c r="D80" s="620"/>
      <c r="E80" s="620"/>
      <c r="F80" s="620"/>
      <c r="G80" s="620"/>
      <c r="H80" s="620"/>
      <c r="I80" s="620"/>
      <c r="J80" s="620"/>
      <c r="K80" s="621"/>
    </row>
    <row r="81" spans="2:11" ht="15.75" thickBot="1">
      <c r="B81" s="401" t="str">
        <f>"Harga yang dipakai adalah "&amp;'HARGA SATUAN'!I5&amp;""</f>
        <v>Harga yang dipakai adalah RAB HSS 2023</v>
      </c>
      <c r="C81" s="402"/>
      <c r="D81" s="403"/>
      <c r="E81" s="403"/>
      <c r="F81" s="403"/>
      <c r="G81" s="404"/>
      <c r="H81" s="404"/>
      <c r="I81" s="404"/>
      <c r="J81" s="404"/>
      <c r="K81" s="405"/>
    </row>
    <row r="82" spans="2:11">
      <c r="C82" s="406"/>
      <c r="E82" s="408"/>
      <c r="F82" s="408"/>
      <c r="G82" s="408"/>
    </row>
    <row r="83" spans="2:11">
      <c r="C83" s="337"/>
      <c r="E83" s="408"/>
      <c r="F83" s="408"/>
      <c r="G83" s="408"/>
      <c r="H83" s="622"/>
      <c r="I83" s="622"/>
      <c r="J83" s="623"/>
      <c r="K83" s="623"/>
    </row>
    <row r="84" spans="2:11">
      <c r="C84" s="337"/>
      <c r="E84" s="408"/>
      <c r="F84" s="408"/>
      <c r="G84" s="408"/>
      <c r="H84" s="409"/>
      <c r="I84" s="612" t="s">
        <v>1627</v>
      </c>
      <c r="J84" s="612"/>
      <c r="K84" s="612"/>
    </row>
    <row r="85" spans="2:11">
      <c r="C85" s="337"/>
      <c r="E85" s="408"/>
      <c r="F85" s="408"/>
      <c r="G85" s="408"/>
      <c r="H85" s="409"/>
      <c r="I85" s="612" t="s">
        <v>1628</v>
      </c>
      <c r="J85" s="612"/>
      <c r="K85" s="612"/>
    </row>
    <row r="86" spans="2:11">
      <c r="C86" s="337"/>
      <c r="E86" s="408"/>
      <c r="F86" s="408"/>
      <c r="G86" s="408"/>
      <c r="H86" s="410"/>
      <c r="I86" s="411"/>
      <c r="J86" s="411"/>
      <c r="K86" s="411"/>
    </row>
    <row r="87" spans="2:11">
      <c r="C87" s="337"/>
      <c r="E87" s="408"/>
      <c r="F87" s="408"/>
      <c r="G87" s="408"/>
      <c r="H87" s="410"/>
      <c r="I87" s="410"/>
      <c r="J87" s="410"/>
      <c r="K87" s="410"/>
    </row>
    <row r="88" spans="2:11">
      <c r="C88" s="337"/>
      <c r="E88" s="408"/>
      <c r="F88" s="408"/>
      <c r="G88" s="408"/>
      <c r="H88" s="410"/>
      <c r="I88" s="410"/>
      <c r="J88" s="410"/>
      <c r="K88" s="410"/>
    </row>
    <row r="89" spans="2:11">
      <c r="C89" s="337"/>
      <c r="E89" s="408"/>
      <c r="F89" s="408"/>
      <c r="G89" s="408"/>
      <c r="H89" s="410"/>
      <c r="I89" s="410"/>
      <c r="J89" s="410"/>
      <c r="K89" s="410"/>
    </row>
    <row r="90" spans="2:11">
      <c r="C90" s="337"/>
      <c r="E90" s="408"/>
      <c r="F90" s="408"/>
      <c r="G90" s="408"/>
      <c r="H90" s="412"/>
      <c r="I90" s="612" t="s">
        <v>1629</v>
      </c>
      <c r="J90" s="612"/>
      <c r="K90" s="612"/>
    </row>
    <row r="91" spans="2:11">
      <c r="C91" s="406"/>
      <c r="E91" s="408"/>
      <c r="F91" s="408"/>
      <c r="G91" s="408"/>
      <c r="H91" s="410"/>
      <c r="I91" s="410"/>
      <c r="J91" s="410"/>
      <c r="K91" s="410"/>
    </row>
    <row r="92" spans="2:11">
      <c r="C92" s="406"/>
      <c r="E92" s="408"/>
      <c r="F92" s="408"/>
      <c r="G92" s="408"/>
      <c r="H92" s="410"/>
      <c r="I92" s="410"/>
      <c r="J92" s="410"/>
      <c r="K92" s="410"/>
    </row>
    <row r="93" spans="2:11">
      <c r="C93" s="406"/>
      <c r="E93" s="408"/>
      <c r="F93" s="408"/>
      <c r="G93" s="408"/>
      <c r="H93" s="410"/>
      <c r="I93" s="410"/>
      <c r="J93" s="410"/>
      <c r="K93" s="410"/>
    </row>
  </sheetData>
  <sheetProtection sort="0" autoFilter="0"/>
  <protectedRanges>
    <protectedRange sqref="B71 B63:B69" name="Range1_1"/>
    <protectedRange sqref="F59:F72 F14:F53" name="Range1_1_2_2"/>
    <protectedRange sqref="C71 C63:C66 C69" name="Range1_1_1"/>
    <protectedRange sqref="C67:C68" name="Range1_1_3_2"/>
    <protectedRange sqref="C37" name="Range1_1_3_4"/>
    <protectedRange sqref="C16" name="Range1_1_3_5"/>
    <protectedRange sqref="C17" name="Range1_1_3_6"/>
    <protectedRange sqref="C18" name="Range1_1_3"/>
    <protectedRange sqref="C36" name="Range1_1_3_3"/>
  </protectedRanges>
  <mergeCells count="22">
    <mergeCell ref="O3:P4"/>
    <mergeCell ref="B4:K4"/>
    <mergeCell ref="C76:F76"/>
    <mergeCell ref="B11:B13"/>
    <mergeCell ref="C11:C13"/>
    <mergeCell ref="D11:D13"/>
    <mergeCell ref="E11:E13"/>
    <mergeCell ref="F11:F13"/>
    <mergeCell ref="G11:G13"/>
    <mergeCell ref="I12:I13"/>
    <mergeCell ref="I85:K85"/>
    <mergeCell ref="I90:K90"/>
    <mergeCell ref="C78:F78"/>
    <mergeCell ref="G6:K6"/>
    <mergeCell ref="I84:K84"/>
    <mergeCell ref="C77:F77"/>
    <mergeCell ref="B79:K80"/>
    <mergeCell ref="H83:K83"/>
    <mergeCell ref="H11:K11"/>
    <mergeCell ref="H12:H13"/>
    <mergeCell ref="J12:J13"/>
    <mergeCell ref="K12:K13"/>
  </mergeCells>
  <phoneticPr fontId="139" type="noConversion"/>
  <conditionalFormatting sqref="C15:C19">
    <cfRule type="cellIs" dxfId="6" priority="12" operator="equal">
      <formula>0</formula>
    </cfRule>
  </conditionalFormatting>
  <conditionalFormatting sqref="C36:C37">
    <cfRule type="cellIs" dxfId="5" priority="1" operator="equal">
      <formula>0</formula>
    </cfRule>
  </conditionalFormatting>
  <conditionalFormatting sqref="C60">
    <cfRule type="cellIs" dxfId="4" priority="100" operator="equal">
      <formula>0</formula>
    </cfRule>
  </conditionalFormatting>
  <conditionalFormatting sqref="C64">
    <cfRule type="cellIs" dxfId="3" priority="3" operator="equal">
      <formula>0</formula>
    </cfRule>
  </conditionalFormatting>
  <conditionalFormatting sqref="C70">
    <cfRule type="cellIs" dxfId="2" priority="98" operator="equal">
      <formula>0</formula>
    </cfRule>
  </conditionalFormatting>
  <conditionalFormatting sqref="E1:E3 G1:G13 E5:E13 H12:I12 O13 S14:V19 E14:K72 E73:G73 H73:K75 E74:H74 E75:F75">
    <cfRule type="cellIs" dxfId="1" priority="1055" stopIfTrue="1" operator="equal">
      <formula>0</formula>
    </cfRule>
  </conditionalFormatting>
  <conditionalFormatting sqref="G74:G65540 E79:E65540">
    <cfRule type="cellIs" dxfId="0" priority="189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21:F33 F40:F46 F48:F50 F52 F54:F58 H14:K7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D26" zoomScale="115" zoomScaleNormal="115" zoomScaleSheetLayoutView="115" workbookViewId="0">
      <selection activeCell="Y52" sqref="Y52:AA5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95" t="s">
        <v>1439</v>
      </c>
      <c r="X2" s="696"/>
      <c r="Y2" s="696"/>
      <c r="Z2" s="696"/>
      <c r="AA2" s="696"/>
      <c r="AB2" s="696"/>
      <c r="AC2" s="696"/>
      <c r="AD2" s="697"/>
    </row>
    <row r="3" spans="3:30">
      <c r="C3" s="238"/>
      <c r="W3" s="698"/>
      <c r="X3" s="699"/>
      <c r="Y3" s="699"/>
      <c r="Z3" s="699"/>
      <c r="AA3" s="699"/>
      <c r="AB3" s="699"/>
      <c r="AC3" s="699"/>
      <c r="AD3" s="700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4" t="s">
        <v>990</v>
      </c>
      <c r="Y5" s="644"/>
      <c r="Z5" s="644"/>
      <c r="AA5" s="644" t="s">
        <v>988</v>
      </c>
      <c r="AB5" s="644"/>
      <c r="AC5" s="644" t="s">
        <v>989</v>
      </c>
      <c r="AD5" s="645"/>
    </row>
    <row r="6" spans="3:30">
      <c r="C6" s="238"/>
      <c r="W6" s="241">
        <v>1</v>
      </c>
      <c r="X6" s="644" t="s">
        <v>993</v>
      </c>
      <c r="Y6" s="644"/>
      <c r="Z6" s="644"/>
      <c r="AA6" s="644"/>
      <c r="AB6" s="644"/>
      <c r="AC6" s="644"/>
      <c r="AD6" s="645"/>
    </row>
    <row r="7" spans="3:30">
      <c r="C7" s="238"/>
      <c r="E7" s="488" t="s">
        <v>1625</v>
      </c>
      <c r="W7" s="241">
        <v>2</v>
      </c>
      <c r="X7" s="644" t="s">
        <v>994</v>
      </c>
      <c r="Y7" s="644"/>
      <c r="Z7" s="644"/>
      <c r="AA7" s="644"/>
      <c r="AB7" s="644"/>
      <c r="AC7" s="644"/>
      <c r="AD7" s="645"/>
    </row>
    <row r="8" spans="3:30">
      <c r="C8" s="238"/>
      <c r="W8" s="241">
        <v>3</v>
      </c>
      <c r="X8" s="644" t="s">
        <v>995</v>
      </c>
      <c r="Y8" s="644"/>
      <c r="Z8" s="644"/>
      <c r="AA8" s="644"/>
      <c r="AB8" s="644"/>
      <c r="AC8" s="644"/>
      <c r="AD8" s="645"/>
    </row>
    <row r="9" spans="3:30">
      <c r="C9" s="238"/>
      <c r="W9" s="241">
        <v>4</v>
      </c>
      <c r="X9" s="644" t="s">
        <v>996</v>
      </c>
      <c r="Y9" s="644"/>
      <c r="Z9" s="644"/>
      <c r="AA9" s="644"/>
      <c r="AB9" s="644"/>
      <c r="AC9" s="644"/>
      <c r="AD9" s="645"/>
    </row>
    <row r="10" spans="3:30">
      <c r="C10" s="238"/>
      <c r="W10" s="241">
        <v>5</v>
      </c>
      <c r="X10" s="644" t="s">
        <v>997</v>
      </c>
      <c r="Y10" s="644"/>
      <c r="Z10" s="644"/>
      <c r="AA10" s="644"/>
      <c r="AB10" s="644"/>
      <c r="AC10" s="644"/>
      <c r="AD10" s="645"/>
    </row>
    <row r="11" spans="3:30">
      <c r="C11" s="238"/>
      <c r="W11" s="241">
        <v>6</v>
      </c>
      <c r="X11" s="644" t="s">
        <v>998</v>
      </c>
      <c r="Y11" s="644"/>
      <c r="Z11" s="644"/>
      <c r="AA11" s="644"/>
      <c r="AB11" s="644"/>
      <c r="AC11" s="644"/>
      <c r="AD11" s="645"/>
    </row>
    <row r="12" spans="3:30">
      <c r="C12" s="238"/>
      <c r="W12" s="241">
        <v>7</v>
      </c>
      <c r="X12" s="644" t="s">
        <v>999</v>
      </c>
      <c r="Y12" s="644"/>
      <c r="Z12" s="644"/>
      <c r="AA12" s="644"/>
      <c r="AB12" s="644"/>
      <c r="AC12" s="644"/>
      <c r="AD12" s="645"/>
    </row>
    <row r="13" spans="3:30" ht="12.75" customHeight="1">
      <c r="C13" s="238"/>
      <c r="W13" s="241">
        <v>8</v>
      </c>
      <c r="X13" s="644" t="s">
        <v>1000</v>
      </c>
      <c r="Y13" s="644"/>
      <c r="Z13" s="644"/>
      <c r="AA13" s="644"/>
      <c r="AB13" s="644"/>
      <c r="AC13" s="644"/>
      <c r="AD13" s="645"/>
    </row>
    <row r="14" spans="3:30">
      <c r="C14" s="238"/>
      <c r="W14" s="241">
        <v>9</v>
      </c>
      <c r="X14" s="644" t="s">
        <v>1001</v>
      </c>
      <c r="Y14" s="644"/>
      <c r="Z14" s="644"/>
      <c r="AA14" s="644"/>
      <c r="AB14" s="644"/>
      <c r="AC14" s="644"/>
      <c r="AD14" s="645"/>
    </row>
    <row r="15" spans="3:30">
      <c r="C15" s="238"/>
      <c r="W15" s="241">
        <v>10</v>
      </c>
      <c r="X15" s="644" t="s">
        <v>1010</v>
      </c>
      <c r="Y15" s="644"/>
      <c r="Z15" s="644"/>
      <c r="AA15" s="644"/>
      <c r="AB15" s="644"/>
      <c r="AC15" s="644"/>
      <c r="AD15" s="645"/>
    </row>
    <row r="16" spans="3:30">
      <c r="C16" s="238"/>
      <c r="W16" s="241">
        <v>11</v>
      </c>
      <c r="X16" s="644" t="s">
        <v>1455</v>
      </c>
      <c r="Y16" s="644"/>
      <c r="Z16" s="644"/>
      <c r="AA16" s="644"/>
      <c r="AB16" s="644"/>
      <c r="AC16" s="644"/>
      <c r="AD16" s="645"/>
    </row>
    <row r="17" spans="3:30">
      <c r="C17" s="238"/>
      <c r="S17" s="242"/>
      <c r="W17" s="241">
        <v>12</v>
      </c>
      <c r="X17" s="644" t="s">
        <v>1011</v>
      </c>
      <c r="Y17" s="644"/>
      <c r="Z17" s="644"/>
      <c r="AA17" s="644"/>
      <c r="AB17" s="644"/>
      <c r="AC17" s="644"/>
      <c r="AD17" s="645"/>
    </row>
    <row r="18" spans="3:30">
      <c r="C18" s="243"/>
      <c r="D18" s="244"/>
      <c r="E18" s="244"/>
      <c r="W18" s="241">
        <v>13</v>
      </c>
      <c r="X18" s="644"/>
      <c r="Y18" s="644"/>
      <c r="Z18" s="644"/>
      <c r="AA18" s="644"/>
      <c r="AB18" s="644"/>
      <c r="AC18" s="644"/>
      <c r="AD18" s="645"/>
    </row>
    <row r="19" spans="3:30">
      <c r="C19" s="238"/>
      <c r="W19" s="245"/>
      <c r="X19" s="693"/>
      <c r="Y19" s="693"/>
      <c r="Z19" s="693"/>
      <c r="AA19" s="693"/>
      <c r="AB19" s="693"/>
      <c r="AC19" s="693"/>
      <c r="AD19" s="694"/>
    </row>
    <row r="20" spans="3:30">
      <c r="C20" s="238"/>
      <c r="W20" s="680" t="s">
        <v>992</v>
      </c>
      <c r="X20" s="681"/>
      <c r="Y20" s="681"/>
      <c r="Z20" s="681"/>
      <c r="AA20" s="681"/>
      <c r="AB20" s="681"/>
      <c r="AC20" s="681"/>
      <c r="AD20" s="682"/>
    </row>
    <row r="21" spans="3:30">
      <c r="C21" s="238"/>
      <c r="W21" s="683" t="s">
        <v>985</v>
      </c>
      <c r="X21" s="684"/>
      <c r="Y21" s="684"/>
      <c r="Z21" s="685"/>
      <c r="AA21" s="686" t="s">
        <v>986</v>
      </c>
      <c r="AB21" s="687"/>
      <c r="AC21" s="687"/>
      <c r="AD21" s="688"/>
    </row>
    <row r="22" spans="3:30">
      <c r="C22" s="238"/>
      <c r="W22" s="689"/>
      <c r="X22" s="690"/>
      <c r="Y22" s="490"/>
      <c r="Z22" s="491"/>
      <c r="AA22" s="691"/>
      <c r="AB22" s="692"/>
      <c r="AC22" s="248"/>
      <c r="AD22" s="249"/>
    </row>
    <row r="23" spans="3:30">
      <c r="C23" s="238"/>
      <c r="W23" s="689"/>
      <c r="X23" s="690"/>
      <c r="Y23" s="490"/>
      <c r="Z23" s="491"/>
      <c r="AA23" s="678"/>
      <c r="AB23" s="679"/>
      <c r="AC23" s="248"/>
      <c r="AD23" s="249"/>
    </row>
    <row r="24" spans="3:30">
      <c r="C24" s="238"/>
      <c r="W24" s="673"/>
      <c r="X24" s="675"/>
      <c r="Y24" s="246"/>
      <c r="Z24" s="247"/>
      <c r="AA24" s="676"/>
      <c r="AB24" s="677"/>
      <c r="AC24" s="248"/>
      <c r="AD24" s="249"/>
    </row>
    <row r="25" spans="3:30">
      <c r="C25" s="238"/>
      <c r="W25" s="673"/>
      <c r="X25" s="675"/>
      <c r="Y25" s="246"/>
      <c r="Z25" s="247"/>
      <c r="AA25" s="678"/>
      <c r="AB25" s="679"/>
      <c r="AC25" s="248"/>
      <c r="AD25" s="249"/>
    </row>
    <row r="26" spans="3:30">
      <c r="C26" s="238"/>
      <c r="W26" s="478"/>
      <c r="X26" s="479"/>
      <c r="Y26" s="246"/>
      <c r="Z26" s="247"/>
      <c r="AA26" s="678"/>
      <c r="AB26" s="679"/>
      <c r="AC26" s="248"/>
      <c r="AD26" s="249"/>
    </row>
    <row r="27" spans="3:30">
      <c r="C27" s="238"/>
      <c r="W27" s="478"/>
      <c r="X27" s="479"/>
      <c r="Y27" s="246"/>
      <c r="Z27" s="247"/>
      <c r="AA27" s="672"/>
      <c r="AB27" s="667"/>
      <c r="AC27" s="248"/>
      <c r="AD27" s="249"/>
    </row>
    <row r="28" spans="3:30">
      <c r="C28" s="238"/>
      <c r="W28" s="478"/>
      <c r="X28" s="479"/>
      <c r="Y28" s="246"/>
      <c r="Z28" s="247"/>
      <c r="AA28" s="672"/>
      <c r="AB28" s="667"/>
      <c r="AC28" s="248"/>
      <c r="AD28" s="249"/>
    </row>
    <row r="29" spans="3:30">
      <c r="C29" s="238"/>
      <c r="W29" s="478"/>
      <c r="X29" s="479"/>
      <c r="Y29" s="246"/>
      <c r="Z29" s="247"/>
      <c r="AA29" s="672"/>
      <c r="AB29" s="667"/>
      <c r="AC29" s="248"/>
      <c r="AD29" s="249"/>
    </row>
    <row r="30" spans="3:30" ht="11.25" customHeight="1">
      <c r="C30" s="238"/>
      <c r="W30" s="480"/>
      <c r="X30" s="481"/>
      <c r="Y30" s="246"/>
      <c r="Z30" s="247"/>
      <c r="AA30" s="672"/>
      <c r="AB30" s="667"/>
      <c r="AC30" s="248"/>
      <c r="AD30" s="249"/>
    </row>
    <row r="31" spans="3:30">
      <c r="C31" s="238"/>
      <c r="U31" s="250"/>
      <c r="W31" s="478"/>
      <c r="X31" s="479"/>
      <c r="Y31" s="246"/>
      <c r="Z31" s="247"/>
      <c r="AA31" s="672"/>
      <c r="AB31" s="667"/>
      <c r="AC31" s="248"/>
      <c r="AD31" s="249"/>
    </row>
    <row r="32" spans="3:30">
      <c r="C32" s="238"/>
      <c r="U32" s="250"/>
      <c r="W32" s="478"/>
      <c r="X32" s="479"/>
      <c r="Y32" s="246"/>
      <c r="Z32" s="247"/>
      <c r="AA32" s="672"/>
      <c r="AB32" s="667"/>
      <c r="AC32" s="248"/>
      <c r="AD32" s="249"/>
    </row>
    <row r="33" spans="3:30">
      <c r="C33" s="238"/>
      <c r="W33" s="478"/>
      <c r="X33" s="479"/>
      <c r="Y33" s="246"/>
      <c r="Z33" s="247"/>
      <c r="AA33" s="672"/>
      <c r="AB33" s="667"/>
      <c r="AC33" s="248"/>
      <c r="AD33" s="249"/>
    </row>
    <row r="34" spans="3:30">
      <c r="C34" s="238"/>
      <c r="W34" s="478"/>
      <c r="X34" s="479"/>
      <c r="Y34" s="246"/>
      <c r="Z34" s="247"/>
      <c r="AA34" s="672"/>
      <c r="AB34" s="667"/>
      <c r="AC34" s="248"/>
      <c r="AD34" s="249"/>
    </row>
    <row r="35" spans="3:30">
      <c r="C35" s="238"/>
      <c r="W35" s="673"/>
      <c r="X35" s="674"/>
      <c r="Y35" s="246"/>
      <c r="Z35" s="247"/>
      <c r="AA35" s="672"/>
      <c r="AB35" s="667"/>
      <c r="AC35" s="248"/>
      <c r="AD35" s="249"/>
    </row>
    <row r="36" spans="3:30">
      <c r="C36" s="238"/>
      <c r="W36" s="664"/>
      <c r="X36" s="665"/>
      <c r="Y36" s="246"/>
      <c r="Z36" s="251"/>
      <c r="AA36" s="666"/>
      <c r="AB36" s="667"/>
      <c r="AC36" s="248"/>
      <c r="AD36" s="249"/>
    </row>
    <row r="37" spans="3:30" ht="12.75" customHeight="1">
      <c r="C37" s="238"/>
      <c r="W37" s="668"/>
      <c r="X37" s="669"/>
      <c r="Y37" s="246"/>
      <c r="Z37" s="251"/>
      <c r="AA37" s="670"/>
      <c r="AB37" s="671"/>
      <c r="AC37" s="252"/>
      <c r="AD37" s="253"/>
    </row>
    <row r="38" spans="3:30" ht="12.75" customHeight="1">
      <c r="C38" s="238"/>
      <c r="W38" s="668"/>
      <c r="X38" s="669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68"/>
      <c r="X39" s="669"/>
      <c r="Y39" s="254"/>
      <c r="Z39" s="257"/>
      <c r="AA39" s="660"/>
      <c r="AB39" s="661"/>
      <c r="AC39" s="252"/>
      <c r="AD39" s="253"/>
    </row>
    <row r="40" spans="3:30" ht="12" customHeight="1">
      <c r="C40" s="238"/>
      <c r="W40" s="656"/>
      <c r="X40" s="657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58"/>
      <c r="X41" s="659"/>
      <c r="Y41" s="260"/>
      <c r="Z41" s="261"/>
      <c r="AA41" s="660"/>
      <c r="AB41" s="661"/>
      <c r="AC41" s="252"/>
      <c r="AD41" s="253"/>
    </row>
    <row r="42" spans="3:30" ht="12" customHeight="1">
      <c r="C42" s="238"/>
      <c r="W42" s="662" t="s">
        <v>1456</v>
      </c>
      <c r="X42" s="663"/>
      <c r="Y42" s="663"/>
      <c r="Z42" s="663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41" t="s">
        <v>11</v>
      </c>
      <c r="X44" s="642"/>
      <c r="Y44" s="644"/>
      <c r="Z44" s="644"/>
      <c r="AA44" s="644"/>
      <c r="AB44" s="644"/>
      <c r="AC44" s="644"/>
      <c r="AD44" s="645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41" t="s">
        <v>984</v>
      </c>
      <c r="X45" s="642"/>
      <c r="Y45" s="644">
        <v>1</v>
      </c>
      <c r="Z45" s="644"/>
      <c r="AA45" s="644"/>
      <c r="AB45" s="644" t="s">
        <v>12</v>
      </c>
      <c r="AC45" s="644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41" t="s">
        <v>15</v>
      </c>
      <c r="X46" s="642"/>
      <c r="Y46" s="655"/>
      <c r="Z46" s="655"/>
      <c r="AA46" s="655"/>
      <c r="AB46" s="644" t="s">
        <v>16</v>
      </c>
      <c r="AC46" s="644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49" t="s">
        <v>17</v>
      </c>
      <c r="X47" s="649"/>
      <c r="Y47" s="649"/>
      <c r="Z47" s="649"/>
      <c r="AA47" s="649"/>
      <c r="AB47" s="649"/>
      <c r="AC47" s="649"/>
      <c r="AD47" s="650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51" t="str">
        <f>RAB!G6</f>
        <v>KOS UCIT LUSIATI</v>
      </c>
      <c r="X48" s="651"/>
      <c r="Y48" s="651"/>
      <c r="Z48" s="651"/>
      <c r="AA48" s="651"/>
      <c r="AB48" s="651"/>
      <c r="AC48" s="651"/>
      <c r="AD48" s="652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51"/>
      <c r="X49" s="651"/>
      <c r="Y49" s="651"/>
      <c r="Z49" s="651"/>
      <c r="AA49" s="651"/>
      <c r="AB49" s="651"/>
      <c r="AC49" s="651"/>
      <c r="AD49" s="652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51"/>
      <c r="X50" s="651"/>
      <c r="Y50" s="651"/>
      <c r="Z50" s="651"/>
      <c r="AA50" s="651"/>
      <c r="AB50" s="651"/>
      <c r="AC50" s="651"/>
      <c r="AD50" s="65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53"/>
      <c r="X51" s="653"/>
      <c r="Y51" s="653"/>
      <c r="Z51" s="653"/>
      <c r="AA51" s="653"/>
      <c r="AB51" s="653"/>
      <c r="AC51" s="653"/>
      <c r="AD51" s="65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41" t="s">
        <v>18</v>
      </c>
      <c r="X52" s="642"/>
      <c r="Y52" s="644" t="s">
        <v>1630</v>
      </c>
      <c r="Z52" s="644"/>
      <c r="AA52" s="644"/>
      <c r="AB52" s="644"/>
      <c r="AC52" s="644"/>
      <c r="AD52" s="645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41" t="s">
        <v>19</v>
      </c>
      <c r="X53" s="642"/>
      <c r="Y53" s="644" t="s">
        <v>1631</v>
      </c>
      <c r="Z53" s="644"/>
      <c r="AA53" s="644"/>
      <c r="AB53" s="644"/>
      <c r="AC53" s="644"/>
      <c r="AD53" s="645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41" t="s">
        <v>20</v>
      </c>
      <c r="X54" s="642"/>
      <c r="Y54" s="643" t="s">
        <v>1632</v>
      </c>
      <c r="Z54" s="643"/>
      <c r="AA54" s="643"/>
      <c r="AB54" s="644"/>
      <c r="AC54" s="644"/>
      <c r="AD54" s="645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46" t="s">
        <v>21</v>
      </c>
      <c r="X55" s="647"/>
      <c r="Y55" s="643" t="s">
        <v>1633</v>
      </c>
      <c r="Z55" s="643"/>
      <c r="AA55" s="643"/>
      <c r="AB55" s="643"/>
      <c r="AC55" s="643"/>
      <c r="AD55" s="648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R43" sqref="R43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1" t="s">
        <v>1528</v>
      </c>
      <c r="E4" s="702"/>
      <c r="F4" s="702"/>
      <c r="G4" s="702"/>
      <c r="H4" s="702"/>
      <c r="I4" s="702"/>
      <c r="J4" s="702"/>
      <c r="K4" s="702"/>
      <c r="L4" s="702"/>
      <c r="M4" s="702"/>
      <c r="N4" s="702"/>
      <c r="O4" s="702"/>
      <c r="P4" s="702"/>
      <c r="Q4" s="702"/>
      <c r="R4" s="702"/>
      <c r="S4" s="702"/>
      <c r="T4" s="702"/>
      <c r="U4" s="702"/>
      <c r="V4" s="702"/>
      <c r="W4" s="702"/>
      <c r="X4" s="702"/>
      <c r="Y4" s="702"/>
      <c r="Z4" s="702"/>
      <c r="AA4" s="702"/>
      <c r="AB4" s="702"/>
      <c r="AC4" s="703"/>
      <c r="AD4" s="217"/>
      <c r="AE4" s="216"/>
      <c r="AF4" s="216"/>
    </row>
    <row r="5" spans="2:32" ht="13.5" customHeight="1">
      <c r="B5" s="215"/>
      <c r="C5" s="215"/>
      <c r="D5" s="704"/>
      <c r="E5" s="705"/>
      <c r="F5" s="705"/>
      <c r="G5" s="705"/>
      <c r="H5" s="705"/>
      <c r="I5" s="705"/>
      <c r="J5" s="705"/>
      <c r="K5" s="705"/>
      <c r="L5" s="705"/>
      <c r="M5" s="705"/>
      <c r="N5" s="705"/>
      <c r="O5" s="705"/>
      <c r="P5" s="705"/>
      <c r="Q5" s="705"/>
      <c r="R5" s="705"/>
      <c r="S5" s="705"/>
      <c r="T5" s="705"/>
      <c r="U5" s="705"/>
      <c r="V5" s="705"/>
      <c r="W5" s="705"/>
      <c r="X5" s="705"/>
      <c r="Y5" s="705"/>
      <c r="Z5" s="705"/>
      <c r="AA5" s="705"/>
      <c r="AB5" s="705"/>
      <c r="AC5" s="706"/>
      <c r="AD5" s="217"/>
      <c r="AE5" s="216"/>
      <c r="AF5" s="216"/>
    </row>
    <row r="6" spans="2:32" ht="12.75" customHeight="1">
      <c r="B6" s="215"/>
      <c r="C6" s="215"/>
      <c r="D6" s="704"/>
      <c r="E6" s="705"/>
      <c r="F6" s="705"/>
      <c r="G6" s="705"/>
      <c r="H6" s="705"/>
      <c r="I6" s="705"/>
      <c r="J6" s="705"/>
      <c r="K6" s="705"/>
      <c r="L6" s="705"/>
      <c r="M6" s="705"/>
      <c r="N6" s="705"/>
      <c r="O6" s="705"/>
      <c r="P6" s="705"/>
      <c r="Q6" s="705"/>
      <c r="R6" s="705"/>
      <c r="S6" s="705"/>
      <c r="T6" s="705"/>
      <c r="U6" s="705"/>
      <c r="V6" s="705"/>
      <c r="W6" s="705"/>
      <c r="X6" s="705"/>
      <c r="Y6" s="705"/>
      <c r="Z6" s="705"/>
      <c r="AA6" s="705"/>
      <c r="AB6" s="705"/>
      <c r="AC6" s="706"/>
      <c r="AE6" s="216"/>
      <c r="AF6" s="216"/>
    </row>
    <row r="7" spans="2:32" ht="12.75" customHeight="1" thickBot="1">
      <c r="B7" s="215"/>
      <c r="C7" s="215"/>
      <c r="D7" s="707"/>
      <c r="E7" s="708"/>
      <c r="F7" s="708"/>
      <c r="G7" s="708"/>
      <c r="H7" s="708"/>
      <c r="I7" s="708"/>
      <c r="J7" s="708"/>
      <c r="K7" s="708"/>
      <c r="L7" s="708"/>
      <c r="M7" s="708"/>
      <c r="N7" s="708"/>
      <c r="O7" s="708"/>
      <c r="P7" s="708"/>
      <c r="Q7" s="708"/>
      <c r="R7" s="708"/>
      <c r="S7" s="708"/>
      <c r="T7" s="708"/>
      <c r="U7" s="708"/>
      <c r="V7" s="708"/>
      <c r="W7" s="708"/>
      <c r="X7" s="708"/>
      <c r="Y7" s="708"/>
      <c r="Z7" s="708"/>
      <c r="AA7" s="708"/>
      <c r="AB7" s="708"/>
      <c r="AC7" s="709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11" zoomScale="55" zoomScaleNormal="40" zoomScaleSheetLayoutView="55" workbookViewId="0">
      <selection activeCell="I20" sqref="I20"/>
    </sheetView>
  </sheetViews>
  <sheetFormatPr defaultRowHeight="12.75"/>
  <cols>
    <col min="1" max="1" width="1.7109375" style="423" customWidth="1"/>
    <col min="2" max="2" width="10.7109375" style="423" customWidth="1"/>
    <col min="3" max="3" width="2.5703125" style="423" customWidth="1"/>
    <col min="4" max="20" width="9.140625" style="423"/>
    <col min="21" max="21" width="14.5703125" style="423" customWidth="1"/>
    <col min="22" max="22" width="3.140625" style="423" customWidth="1"/>
    <col min="23" max="26" width="9.140625" style="423"/>
    <col min="27" max="27" width="2.85546875" style="423" customWidth="1"/>
    <col min="28" max="30" width="4.7109375" style="423" customWidth="1"/>
    <col min="31" max="31" width="1.7109375" style="423" customWidth="1"/>
    <col min="32" max="16384" width="9.140625" style="42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5" t="s">
        <v>1527</v>
      </c>
      <c r="D3" s="705"/>
      <c r="E3" s="705"/>
      <c r="F3" s="705"/>
      <c r="G3" s="705"/>
      <c r="H3" s="705"/>
      <c r="I3" s="705"/>
      <c r="J3" s="705"/>
      <c r="K3" s="705"/>
      <c r="L3" s="705"/>
      <c r="M3" s="705"/>
      <c r="N3" s="705"/>
      <c r="O3" s="705"/>
      <c r="P3" s="705"/>
      <c r="Q3" s="705"/>
      <c r="R3" s="705"/>
      <c r="S3" s="705"/>
      <c r="T3" s="705"/>
      <c r="U3" s="705"/>
      <c r="V3" s="705"/>
      <c r="W3" s="182"/>
      <c r="X3" s="434"/>
      <c r="Y3" s="434"/>
      <c r="Z3" s="434"/>
      <c r="AA3" s="434"/>
      <c r="AB3" s="434"/>
      <c r="AC3" s="424"/>
    </row>
    <row r="4" spans="1:29" ht="18.75" customHeight="1">
      <c r="A4" s="181"/>
      <c r="C4" s="705"/>
      <c r="D4" s="705"/>
      <c r="E4" s="705"/>
      <c r="F4" s="705"/>
      <c r="G4" s="705"/>
      <c r="H4" s="705"/>
      <c r="I4" s="705"/>
      <c r="J4" s="705"/>
      <c r="K4" s="705"/>
      <c r="L4" s="705"/>
      <c r="M4" s="705"/>
      <c r="N4" s="705"/>
      <c r="O4" s="705"/>
      <c r="P4" s="705"/>
      <c r="Q4" s="705"/>
      <c r="R4" s="705"/>
      <c r="S4" s="705"/>
      <c r="T4" s="705"/>
      <c r="U4" s="705"/>
      <c r="V4" s="705"/>
      <c r="W4" s="182"/>
      <c r="X4" s="434"/>
      <c r="Y4" s="434"/>
      <c r="Z4" s="434"/>
      <c r="AA4" s="434"/>
      <c r="AB4" s="434"/>
      <c r="AC4" s="424"/>
    </row>
    <row r="5" spans="1:29" ht="12.75" customHeight="1">
      <c r="A5" s="181"/>
      <c r="C5" s="425"/>
      <c r="W5" s="182"/>
    </row>
    <row r="6" spans="1:29" ht="12.75" customHeight="1">
      <c r="A6" s="181"/>
      <c r="C6" s="710" t="str">
        <f>GAMBAR!E7</f>
        <v>KOORDINAT : -6.901379, 110.634156</v>
      </c>
      <c r="D6" s="710"/>
      <c r="E6" s="710"/>
      <c r="F6" s="710"/>
      <c r="G6" s="710"/>
      <c r="H6" s="710"/>
      <c r="I6" s="710"/>
      <c r="J6" s="710"/>
      <c r="K6" s="710"/>
      <c r="L6" s="710"/>
      <c r="M6" s="710"/>
      <c r="W6" s="182"/>
      <c r="Y6" s="426"/>
      <c r="Z6" s="426"/>
      <c r="AA6" s="426"/>
      <c r="AB6" s="427"/>
      <c r="AC6" s="427"/>
    </row>
    <row r="7" spans="1:29" ht="18" customHeight="1">
      <c r="A7" s="181"/>
      <c r="C7" s="710"/>
      <c r="D7" s="710"/>
      <c r="E7" s="710"/>
      <c r="F7" s="710"/>
      <c r="G7" s="710"/>
      <c r="H7" s="710"/>
      <c r="I7" s="710"/>
      <c r="J7" s="710"/>
      <c r="K7" s="710"/>
      <c r="L7" s="710"/>
      <c r="M7" s="710"/>
      <c r="W7" s="182"/>
      <c r="Y7" s="426"/>
      <c r="Z7" s="426"/>
      <c r="AA7" s="426"/>
      <c r="AB7" s="427"/>
      <c r="AC7" s="427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8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9"/>
      <c r="S54" s="429"/>
      <c r="T54" s="429"/>
      <c r="U54" s="430"/>
      <c r="V54" s="430"/>
      <c r="W54" s="183"/>
      <c r="X54" s="430"/>
      <c r="Y54" s="430"/>
      <c r="Z54" s="430"/>
      <c r="AA54" s="430"/>
      <c r="AB54" s="430"/>
      <c r="AC54" s="430"/>
      <c r="AD54" s="430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5"/>
      <c r="S55" s="436"/>
      <c r="T55" s="436"/>
      <c r="U55" s="186"/>
      <c r="V55" s="187"/>
      <c r="W55" s="188"/>
      <c r="X55" s="430"/>
      <c r="Y55" s="430"/>
      <c r="Z55" s="430"/>
      <c r="AA55" s="431"/>
      <c r="AB55" s="431"/>
      <c r="AC55" s="431"/>
      <c r="AD55" s="431"/>
    </row>
    <row r="56" spans="1:30">
      <c r="U56" s="430"/>
      <c r="V56" s="431"/>
      <c r="W56" s="430"/>
      <c r="X56" s="430"/>
      <c r="Y56" s="430"/>
      <c r="Z56" s="430"/>
      <c r="AA56" s="431"/>
      <c r="AB56" s="430"/>
      <c r="AC56" s="430"/>
      <c r="AD56" s="430"/>
    </row>
    <row r="57" spans="1:30">
      <c r="U57" s="430"/>
      <c r="V57" s="431"/>
      <c r="W57" s="430"/>
      <c r="X57" s="430"/>
      <c r="Y57" s="430"/>
      <c r="Z57" s="430"/>
      <c r="AA57" s="430"/>
      <c r="AB57" s="430"/>
      <c r="AC57" s="430"/>
      <c r="AD57" s="430"/>
    </row>
    <row r="58" spans="1:30">
      <c r="U58" s="430"/>
      <c r="V58" s="431"/>
      <c r="W58" s="430"/>
      <c r="X58" s="430"/>
      <c r="Y58" s="430"/>
      <c r="Z58" s="430"/>
      <c r="AA58" s="430"/>
      <c r="AB58" s="430"/>
      <c r="AC58" s="430"/>
      <c r="AD58" s="430"/>
    </row>
    <row r="59" spans="1:30">
      <c r="U59" s="430"/>
      <c r="V59" s="431"/>
      <c r="W59" s="430"/>
      <c r="X59" s="430"/>
      <c r="Y59" s="430"/>
      <c r="Z59" s="430"/>
      <c r="AA59" s="430"/>
      <c r="AB59" s="430"/>
      <c r="AC59" s="430"/>
      <c r="AD59" s="430"/>
    </row>
    <row r="60" spans="1:30">
      <c r="U60" s="430"/>
      <c r="V60" s="431"/>
      <c r="W60" s="430"/>
      <c r="X60" s="430"/>
      <c r="Y60" s="430"/>
      <c r="Z60" s="430"/>
      <c r="AA60" s="431"/>
      <c r="AB60" s="430"/>
      <c r="AC60" s="430"/>
      <c r="AD60" s="430"/>
    </row>
    <row r="61" spans="1:30">
      <c r="U61" s="430"/>
      <c r="V61" s="431"/>
      <c r="W61" s="430"/>
      <c r="X61" s="430"/>
      <c r="Y61" s="430"/>
      <c r="Z61" s="430"/>
      <c r="AA61" s="430"/>
      <c r="AB61" s="430"/>
      <c r="AC61" s="430"/>
      <c r="AD61" s="430"/>
    </row>
    <row r="62" spans="1:30">
      <c r="U62" s="430"/>
      <c r="V62" s="431"/>
      <c r="W62" s="430"/>
      <c r="X62" s="430"/>
      <c r="Y62" s="430"/>
      <c r="Z62" s="430"/>
      <c r="AA62" s="430"/>
      <c r="AB62" s="430"/>
      <c r="AC62" s="430"/>
      <c r="AD62" s="430"/>
    </row>
    <row r="63" spans="1:30">
      <c r="U63" s="430"/>
      <c r="V63" s="431"/>
      <c r="W63" s="430"/>
      <c r="X63" s="430"/>
      <c r="Y63" s="430"/>
      <c r="Z63" s="430"/>
      <c r="AA63" s="430"/>
      <c r="AB63" s="430"/>
      <c r="AC63" s="430"/>
      <c r="AD63" s="430"/>
    </row>
    <row r="64" spans="1:30">
      <c r="U64" s="430"/>
      <c r="V64" s="431"/>
      <c r="W64" s="430"/>
      <c r="X64" s="430"/>
      <c r="Y64" s="430"/>
      <c r="Z64" s="430"/>
      <c r="AA64" s="430"/>
      <c r="AB64" s="430"/>
      <c r="AC64" s="430"/>
      <c r="AD64" s="430"/>
    </row>
    <row r="65" spans="5:30">
      <c r="U65" s="430"/>
      <c r="V65" s="431"/>
      <c r="W65" s="430"/>
      <c r="X65" s="430"/>
      <c r="Y65" s="430"/>
      <c r="Z65" s="430"/>
      <c r="AA65" s="430"/>
      <c r="AB65" s="430"/>
      <c r="AC65" s="430"/>
      <c r="AD65" s="430"/>
    </row>
    <row r="66" spans="5:30" ht="6" customHeight="1"/>
    <row r="73" spans="5:30">
      <c r="M73" s="432"/>
    </row>
    <row r="74" spans="5:30" ht="15" customHeight="1">
      <c r="E74" s="433"/>
      <c r="M74" s="432"/>
    </row>
    <row r="75" spans="5:30" ht="15" customHeight="1">
      <c r="E75" s="433"/>
      <c r="M75" s="432"/>
    </row>
    <row r="76" spans="5:30" ht="15" customHeight="1">
      <c r="E76" s="433"/>
      <c r="M76" s="432"/>
    </row>
    <row r="77" spans="5:30" ht="15" customHeight="1">
      <c r="E77" s="433"/>
      <c r="M77" s="432"/>
    </row>
    <row r="78" spans="5:30" ht="15" customHeight="1">
      <c r="E78" s="433"/>
      <c r="M78" s="432"/>
    </row>
    <row r="79" spans="5:30" ht="15" customHeight="1">
      <c r="E79" s="433"/>
      <c r="M79" s="432"/>
    </row>
    <row r="80" spans="5:30" ht="15" customHeight="1">
      <c r="E80" s="433"/>
      <c r="M80" s="432"/>
    </row>
    <row r="81" spans="5:13" ht="15" customHeight="1">
      <c r="E81" s="433"/>
      <c r="M81" s="432"/>
    </row>
    <row r="82" spans="5:13" ht="15" customHeight="1">
      <c r="E82" s="433"/>
      <c r="M82" s="432"/>
    </row>
    <row r="83" spans="5:13" ht="15" customHeight="1">
      <c r="E83" s="433"/>
      <c r="M83" s="432"/>
    </row>
    <row r="84" spans="5:13" ht="15" customHeight="1">
      <c r="E84" s="433"/>
      <c r="M84" s="432"/>
    </row>
    <row r="85" spans="5:13" ht="15" customHeight="1">
      <c r="E85" s="433"/>
      <c r="M85" s="432"/>
    </row>
    <row r="86" spans="5:13" ht="15" customHeight="1">
      <c r="E86" s="433"/>
      <c r="M86" s="432"/>
    </row>
    <row r="87" spans="5:13" ht="15" customHeight="1">
      <c r="E87" s="433"/>
      <c r="M87" s="432"/>
    </row>
    <row r="88" spans="5:13" ht="15" customHeight="1">
      <c r="E88" s="433"/>
      <c r="M88" s="432"/>
    </row>
    <row r="89" spans="5:13" ht="15" customHeight="1">
      <c r="E89" s="433"/>
      <c r="M89" s="432"/>
    </row>
    <row r="90" spans="5:13" ht="15" customHeight="1">
      <c r="E90" s="433"/>
      <c r="M90" s="432"/>
    </row>
    <row r="91" spans="5:13" ht="15" customHeight="1">
      <c r="E91" s="433"/>
      <c r="M91" s="432"/>
    </row>
    <row r="92" spans="5:13" ht="15" customHeight="1">
      <c r="E92" s="433"/>
      <c r="M92" s="432"/>
    </row>
    <row r="93" spans="5:13" ht="15" customHeight="1">
      <c r="E93" s="433"/>
      <c r="M93" s="432"/>
    </row>
    <row r="94" spans="5:13" ht="15" customHeight="1">
      <c r="E94" s="433"/>
      <c r="M94" s="432"/>
    </row>
    <row r="95" spans="5:13" ht="15" customHeight="1">
      <c r="E95" s="433"/>
      <c r="M95" s="432"/>
    </row>
    <row r="96" spans="5:13" ht="15" customHeight="1">
      <c r="E96" s="433"/>
    </row>
    <row r="97" spans="5:5" ht="15" customHeight="1">
      <c r="E97" s="433"/>
    </row>
    <row r="98" spans="5:5" ht="15" customHeight="1">
      <c r="E98" s="433"/>
    </row>
    <row r="99" spans="5:5" ht="15" customHeight="1">
      <c r="E99" s="433"/>
    </row>
    <row r="100" spans="5:5" ht="15" customHeight="1">
      <c r="E100" s="433"/>
    </row>
    <row r="101" spans="5:5" ht="15" customHeight="1">
      <c r="E101" s="433"/>
    </row>
    <row r="102" spans="5:5" ht="15" customHeight="1">
      <c r="E102" s="433"/>
    </row>
    <row r="103" spans="5:5" ht="15" customHeight="1">
      <c r="E103" s="433"/>
    </row>
    <row r="104" spans="5:5" ht="15" customHeight="1">
      <c r="E104" s="433"/>
    </row>
    <row r="105" spans="5:5" ht="15" customHeight="1">
      <c r="E105" s="433"/>
    </row>
    <row r="106" spans="5:5" ht="15" customHeight="1">
      <c r="E106" s="433"/>
    </row>
    <row r="107" spans="5:5" ht="15" customHeight="1">
      <c r="E107" s="433"/>
    </row>
    <row r="108" spans="5:5" ht="15" customHeight="1">
      <c r="E108" s="433"/>
    </row>
    <row r="109" spans="5:5" ht="15" customHeight="1">
      <c r="E109" s="433"/>
    </row>
    <row r="110" spans="5:5" ht="15" customHeight="1">
      <c r="E110" s="433"/>
    </row>
    <row r="111" spans="5:5" ht="15" customHeight="1">
      <c r="E111" s="433"/>
    </row>
    <row r="112" spans="5:5" ht="15" customHeight="1">
      <c r="E112" s="433"/>
    </row>
    <row r="113" spans="5:5" ht="15" customHeight="1">
      <c r="E113" s="433"/>
    </row>
    <row r="114" spans="5:5" ht="15" customHeight="1">
      <c r="E114" s="433"/>
    </row>
    <row r="115" spans="5:5" ht="15" customHeight="1">
      <c r="E115" s="433"/>
    </row>
    <row r="116" spans="5:5" ht="15" customHeight="1">
      <c r="E116" s="433"/>
    </row>
    <row r="117" spans="5:5" ht="15" customHeight="1">
      <c r="E117" s="433"/>
    </row>
    <row r="118" spans="5:5" ht="15" customHeight="1">
      <c r="E118" s="433"/>
    </row>
    <row r="119" spans="5:5" ht="15" customHeight="1">
      <c r="E119" s="433"/>
    </row>
    <row r="120" spans="5:5">
      <c r="E120" s="433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5">
        <v>1</v>
      </c>
    </row>
    <row r="2" spans="1:11" ht="48" customHeight="1">
      <c r="A2" s="455">
        <v>3</v>
      </c>
    </row>
    <row r="4" spans="1:11" ht="48" customHeight="1">
      <c r="C4" s="455">
        <v>1</v>
      </c>
    </row>
    <row r="5" spans="1:11" ht="48" customHeight="1">
      <c r="C5" s="455">
        <v>3</v>
      </c>
    </row>
    <row r="7" spans="1:11" ht="48" customHeight="1">
      <c r="E7" s="455">
        <v>1</v>
      </c>
    </row>
    <row r="8" spans="1:11" ht="48" customHeight="1">
      <c r="E8" s="455">
        <v>3</v>
      </c>
    </row>
    <row r="10" spans="1:11" ht="48" customHeight="1">
      <c r="G10" s="455">
        <v>3</v>
      </c>
    </row>
    <row r="11" spans="1:11" ht="48" customHeight="1">
      <c r="G11" s="455">
        <v>1</v>
      </c>
    </row>
    <row r="13" spans="1:11" ht="48" customHeight="1">
      <c r="I13" s="455">
        <v>3</v>
      </c>
    </row>
    <row r="14" spans="1:11" ht="48" customHeight="1">
      <c r="I14" s="455">
        <v>1</v>
      </c>
    </row>
    <row r="16" spans="1:11" ht="48" customHeight="1">
      <c r="K16" s="455">
        <v>3</v>
      </c>
    </row>
    <row r="17" spans="11:21" ht="48" customHeight="1">
      <c r="K17" s="455">
        <v>1</v>
      </c>
    </row>
    <row r="19" spans="11:21" ht="48" customHeight="1">
      <c r="M19" s="455">
        <v>3</v>
      </c>
    </row>
    <row r="20" spans="11:21" ht="48" customHeight="1">
      <c r="M20" s="455">
        <v>1</v>
      </c>
    </row>
    <row r="22" spans="11:21" ht="48" customHeight="1">
      <c r="O22" s="455">
        <v>3</v>
      </c>
    </row>
    <row r="23" spans="11:21" ht="48" customHeight="1">
      <c r="O23" s="455">
        <v>1</v>
      </c>
    </row>
    <row r="25" spans="11:21" ht="57" customHeight="1">
      <c r="Q25" s="455">
        <v>3</v>
      </c>
    </row>
    <row r="26" spans="11:21" ht="57" customHeight="1">
      <c r="Q26" s="455">
        <v>1</v>
      </c>
    </row>
    <row r="28" spans="11:21" ht="57" customHeight="1">
      <c r="S28" s="455">
        <v>3</v>
      </c>
    </row>
    <row r="29" spans="11:21" ht="57" customHeight="1">
      <c r="S29" s="455">
        <v>1</v>
      </c>
    </row>
    <row r="31" spans="11:21" ht="57" customHeight="1">
      <c r="U31" s="455">
        <v>3</v>
      </c>
    </row>
    <row r="32" spans="11:21" ht="57" customHeight="1">
      <c r="U32" s="45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2023-05-10T03:04:01Z</cp:lastPrinted>
  <dcterms:created xsi:type="dcterms:W3CDTF">2011-02-06T11:57:38Z</dcterms:created>
  <dcterms:modified xsi:type="dcterms:W3CDTF">2024-02-05T05:47:59Z</dcterms:modified>
</cp:coreProperties>
</file>