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4\PBPD\MOM\1. BP LEBIH BESAR DR INVESTASI\LAP KEMENAG\"/>
    </mc:Choice>
  </mc:AlternateContent>
  <xr:revisionPtr revIDLastSave="0" documentId="13_ncr:1_{333D2F74-BDC4-43AD-B2A7-E640E7AC50F9}" xr6:coauthVersionLast="47" xr6:coauthVersionMax="47" xr10:uidLastSave="{00000000-0000-0000-0000-000000000000}"/>
  <bookViews>
    <workbookView xWindow="-120" yWindow="-120" windowWidth="24240" windowHeight="13140" tabRatio="859" activeTab="1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RAB!$A$1:$K$60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G26" i="11" l="1"/>
  <c r="G27" i="11"/>
  <c r="D26" i="11"/>
  <c r="H26" i="11" s="1"/>
  <c r="E26" i="11"/>
  <c r="D27" i="11"/>
  <c r="J27" i="11" s="1"/>
  <c r="E27" i="11"/>
  <c r="F25" i="11"/>
  <c r="F24" i="11"/>
  <c r="F23" i="11"/>
  <c r="F22" i="11"/>
  <c r="F21" i="11"/>
  <c r="G28" i="11"/>
  <c r="G29" i="11"/>
  <c r="G30" i="11"/>
  <c r="G31" i="11"/>
  <c r="D28" i="11"/>
  <c r="J28" i="11" s="1"/>
  <c r="E28" i="11"/>
  <c r="D29" i="11"/>
  <c r="H29" i="11" s="1"/>
  <c r="E29" i="11"/>
  <c r="D18" i="11"/>
  <c r="J18" i="11" s="1"/>
  <c r="E18" i="11"/>
  <c r="G18" i="11"/>
  <c r="D19" i="11"/>
  <c r="J19" i="11" s="1"/>
  <c r="E19" i="11"/>
  <c r="G19" i="11"/>
  <c r="I27" i="11" l="1"/>
  <c r="J26" i="11"/>
  <c r="H27" i="11"/>
  <c r="K27" i="11" s="1"/>
  <c r="I26" i="11"/>
  <c r="K26" i="11" s="1"/>
  <c r="I28" i="11"/>
  <c r="H28" i="11"/>
  <c r="J29" i="11"/>
  <c r="I18" i="11"/>
  <c r="I19" i="11"/>
  <c r="H18" i="11"/>
  <c r="H19" i="11"/>
  <c r="K19" i="11" l="1"/>
  <c r="K18" i="11"/>
  <c r="K28" i="11"/>
  <c r="F28" i="11" l="1"/>
  <c r="F35" i="11" s="1"/>
  <c r="D30" i="11"/>
  <c r="E30" i="11"/>
  <c r="D31" i="11"/>
  <c r="E31" i="11"/>
  <c r="D32" i="11"/>
  <c r="J32" i="11" s="1"/>
  <c r="E32" i="11"/>
  <c r="G32" i="11"/>
  <c r="D33" i="11"/>
  <c r="J33" i="11" s="1"/>
  <c r="E33" i="11"/>
  <c r="G33" i="11"/>
  <c r="D34" i="11"/>
  <c r="H34" i="11" s="1"/>
  <c r="E34" i="11"/>
  <c r="G34" i="11"/>
  <c r="D35" i="11"/>
  <c r="J35" i="11" s="1"/>
  <c r="E35" i="11"/>
  <c r="G35" i="11"/>
  <c r="D36" i="11"/>
  <c r="J36" i="11" s="1"/>
  <c r="E36" i="11"/>
  <c r="G36" i="11"/>
  <c r="D37" i="11"/>
  <c r="J37" i="11" s="1"/>
  <c r="E37" i="11"/>
  <c r="G37" i="11"/>
  <c r="D38" i="11"/>
  <c r="H38" i="11" s="1"/>
  <c r="E38" i="11"/>
  <c r="G38" i="11"/>
  <c r="H30" i="11" l="1"/>
  <c r="J30" i="11"/>
  <c r="H31" i="11"/>
  <c r="J31" i="11"/>
  <c r="F30" i="11"/>
  <c r="I30" i="11" s="1"/>
  <c r="F32" i="11"/>
  <c r="I32" i="11" s="1"/>
  <c r="J38" i="11"/>
  <c r="F29" i="11"/>
  <c r="I29" i="11" s="1"/>
  <c r="K29" i="11" s="1"/>
  <c r="F33" i="11"/>
  <c r="F34" i="11"/>
  <c r="H32" i="11"/>
  <c r="F31" i="11"/>
  <c r="I31" i="11" s="1"/>
  <c r="H35" i="11"/>
  <c r="J34" i="11"/>
  <c r="I35" i="11"/>
  <c r="I36" i="11"/>
  <c r="I38" i="11"/>
  <c r="H36" i="11"/>
  <c r="I37" i="11"/>
  <c r="I33" i="11"/>
  <c r="H37" i="11"/>
  <c r="I34" i="11"/>
  <c r="H33" i="11"/>
  <c r="K31" i="11" l="1"/>
  <c r="K30" i="11"/>
  <c r="K38" i="11"/>
  <c r="K36" i="11"/>
  <c r="K32" i="11"/>
  <c r="K37" i="11"/>
  <c r="K33" i="11"/>
  <c r="K34" i="11"/>
  <c r="K35" i="11"/>
  <c r="G20" i="11"/>
  <c r="G21" i="11"/>
  <c r="G22" i="11"/>
  <c r="G23" i="11"/>
  <c r="G24" i="11"/>
  <c r="G25" i="11"/>
  <c r="D20" i="11"/>
  <c r="H20" i="11" s="1"/>
  <c r="E20" i="11"/>
  <c r="J21" i="11"/>
  <c r="E21" i="11"/>
  <c r="D22" i="11"/>
  <c r="E22" i="11"/>
  <c r="E23" i="11"/>
  <c r="D24" i="11"/>
  <c r="H24" i="11" s="1"/>
  <c r="E24" i="11"/>
  <c r="D25" i="11"/>
  <c r="E25" i="11"/>
  <c r="I22" i="11" l="1"/>
  <c r="J25" i="11"/>
  <c r="H23" i="11"/>
  <c r="I21" i="11"/>
  <c r="I25" i="11"/>
  <c r="H22" i="11"/>
  <c r="J20" i="11"/>
  <c r="J24" i="11"/>
  <c r="H25" i="11"/>
  <c r="I24" i="11"/>
  <c r="J23" i="11"/>
  <c r="H21" i="11"/>
  <c r="I20" i="11"/>
  <c r="I23" i="11"/>
  <c r="J22" i="11"/>
  <c r="K23" i="11" l="1"/>
  <c r="K22" i="11"/>
  <c r="K21" i="11"/>
  <c r="K20" i="11"/>
  <c r="K25" i="11"/>
  <c r="K24" i="11"/>
  <c r="D39" i="11" l="1"/>
  <c r="H39" i="11" s="1"/>
  <c r="E39" i="11"/>
  <c r="G39" i="11"/>
  <c r="I39" i="11" l="1"/>
  <c r="J39" i="11"/>
  <c r="C6" i="62"/>
  <c r="D15" i="11"/>
  <c r="J15" i="11" s="1"/>
  <c r="E15" i="11"/>
  <c r="G15" i="11"/>
  <c r="D17" i="11"/>
  <c r="H17" i="11" s="1"/>
  <c r="E17" i="11"/>
  <c r="G17" i="11"/>
  <c r="K39" i="11" l="1"/>
  <c r="I15" i="11"/>
  <c r="H15" i="11"/>
  <c r="J17" i="11"/>
  <c r="I17" i="11"/>
  <c r="D16" i="60"/>
  <c r="K15" i="11" l="1"/>
  <c r="K17" i="11"/>
  <c r="G6" i="11" l="1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40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40" i="11"/>
  <c r="D41" i="11"/>
  <c r="H41" i="11" s="1"/>
  <c r="E41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41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48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40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41" i="11"/>
  <c r="I41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41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E295" i="29"/>
  <c r="F295" i="29"/>
  <c r="E258" i="29"/>
  <c r="F258" i="29"/>
  <c r="E237" i="29"/>
  <c r="F237" i="29"/>
  <c r="F58" i="39"/>
  <c r="E58" i="39"/>
  <c r="F60" i="39" s="1"/>
  <c r="H43" i="11"/>
  <c r="H44" i="11" s="1"/>
  <c r="I43" i="11"/>
  <c r="I44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20" i="29" l="1"/>
  <c r="F345" i="29"/>
  <c r="F238" i="29"/>
  <c r="F294" i="29"/>
  <c r="F292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45" i="11"/>
  <c r="I45" i="11"/>
  <c r="F364" i="29"/>
  <c r="F69" i="39"/>
  <c r="F72" i="39"/>
  <c r="F367" i="29"/>
  <c r="J40" i="11"/>
  <c r="K40" i="11" s="1"/>
  <c r="K43" i="11" s="1"/>
  <c r="K44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43" i="11"/>
  <c r="J44" i="11" s="1"/>
  <c r="K45" i="11"/>
  <c r="B46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45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E1026" i="41"/>
  <c r="F855" i="41"/>
  <c r="E855" i="41"/>
  <c r="E827" i="41"/>
  <c r="F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54" i="41" l="1"/>
  <c r="F810" i="41"/>
  <c r="F835" i="41"/>
  <c r="F728" i="41"/>
  <c r="F784" i="41"/>
  <c r="F807" i="41"/>
  <c r="F782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<sst xmlns="http://schemas.openxmlformats.org/spreadsheetml/2006/main" count="4707" uniqueCount="1626">
  <si>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</si>
  <si>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</si>
  <si>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</si>
  <si>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</si>
  <si>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</si>
  <si>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</si>
  <si>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</si>
  <si>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</si>
  <si>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</si>
  <si>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</si>
  <si>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</si>
  <si>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</si>
  <si>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</si>
  <si>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</si>
  <si>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</si>
  <si>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</si>
  <si>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</si>
  <si>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</si>
  <si>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</si>
  <si>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</si>
  <si>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</si>
  <si>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</si>
  <si>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</si>
  <si>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</si>
  <si>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</si>
  <si>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</si>
  <si>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</si>
  <si>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</si>
  <si>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</si>
  <si>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</si>
  <si>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</si>
  <si>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</si>
  <si>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</si>
  <si>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</si>
  <si>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</si>
  <si>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</si>
  <si>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</si>
  <si>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</si>
  <si>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</si>
  <si>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</si>
  <si>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</si>
  <si>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</si>
  <si>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</si>
  <si>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</si>
  <si>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</si>
  <si>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</si>
  <si>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</si>
  <si>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</si>
  <si>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</si>
  <si>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</si>
  <si>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</si>
  <si>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</si>
  <si>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</si>
  <si>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</si>
  <si>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</si>
  <si>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</si>
  <si>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</si>
  <si>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</si>
  <si>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</si>
  <si>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</si>
  <si>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</si>
  <si>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</si>
  <si>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</si>
  <si>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</si>
  <si>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</si>
  <si>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</si>
  <si>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</si>
  <si>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</si>
  <si>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</si>
  <si>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</si>
  <si>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</si>
  <si>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</si>
  <si>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</si>
  <si>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</si>
  <si>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</si>
  <si>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</si>
  <si>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</si>
  <si>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</si>
  <si>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</si>
  <si>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</si>
  <si>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</si>
  <si>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</si>
  <si>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</si>
  <si>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</si>
  <si>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</si>
  <si>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</si>
  <si>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</si>
  <si>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</si>
  <si>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</si>
  <si>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</si>
  <si>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</si>
  <si>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</si>
  <si>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</si>
  <si>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</si>
  <si>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</si>
  <si>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</si>
  <si>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</si>
  <si>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</si>
  <si>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</si>
  <si>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</si>
  <si>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</si>
  <si>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</si>
  <si>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</si>
  <si>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</si>
  <si>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</si>
  <si>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</si>
  <si>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</si>
  <si>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</si>
  <si>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</si>
  <si>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</si>
  <si>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</si>
  <si>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</si>
  <si>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</si>
  <si>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</si>
  <si>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</si>
  <si>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</si>
  <si>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</si>
  <si>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</si>
  <si>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</si>
  <si>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</si>
  <si>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</si>
  <si>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</si>
  <si>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</si>
  <si>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</si>
  <si>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</si>
  <si>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</si>
  <si>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</si>
  <si>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</si>
  <si>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</si>
  <si>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</si>
  <si>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</si>
  <si>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</si>
  <si>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</si>
  <si>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</si>
  <si>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</si>
  <si>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</si>
  <si>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</si>
  <si>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</si>
  <si>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</si>
  <si>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</si>
  <si>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</si>
  <si>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</si>
  <si>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</si>
  <si>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</si>
  <si>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</si>
  <si>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</si>
  <si>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</si>
  <si>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</si>
  <si>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</si>
  <si>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</si>
  <si>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</si>
  <si>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</si>
  <si>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</si>
  <si>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</si>
  <si>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</si>
  <si>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</si>
  <si>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</si>
  <si>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</si>
  <si>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</si>
  <si>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</si>
  <si>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</si>
  <si>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</si>
  <si>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</si>
  <si>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</si>
  <si>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</si>
  <si>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</si>
  <si>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</si>
  <si>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</si>
  <si>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</si>
  <si>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</si>
  <si>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</si>
  <si>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</si>
  <si>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</si>
  <si>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</si>
  <si>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</si>
  <si>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</si>
  <si>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</si>
  <si>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</si>
  <si>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</si>
  <si>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</si>
  <si>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</si>
  <si>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</si>
  <si>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</si>
  <si>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</si>
  <si>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</si>
  <si>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</si>
  <si>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</si>
  <si>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</si>
  <si>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</si>
  <si>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</si>
  <si>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</si>
  <si>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</si>
  <si>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</si>
  <si>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</si>
  <si>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</si>
  <si>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</si>
  <si>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</si>
  <si>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</si>
  <si>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</si>
  <si>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</si>
  <si>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</si>
  <si>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</si>
  <si>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</si>
  <si>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</si>
  <si>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</si>
  <si>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</si>
  <si>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</si>
  <si>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</si>
  <si>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</si>
  <si>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</si>
  <si>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</si>
  <si>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</si>
  <si>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</si>
  <si>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</si>
  <si>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</si>
  <si>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</si>
  <si>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</si>
  <si>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</si>
  <si>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</si>
  <si>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</si>
  <si>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</si>
  <si>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</si>
  <si>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</si>
  <si>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</si>
  <si>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</si>
  <si>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</si>
  <si>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</si>
  <si>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</si>
  <si>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</si>
  <si>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</si>
  <si>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</si>
  <si>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</si>
  <si>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</si>
  <si>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</si>
  <si>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</si>
  <si>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</si>
  <si>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</si>
  <si>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</si>
  <si>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</si>
  <si>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</si>
  <si>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</si>
  <si>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</si>
  <si>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</si>
  <si>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</si>
  <si>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</si>
  <si>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</si>
  <si>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</si>
  <si>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</si>
  <si>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</si>
  <si>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</si>
  <si>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</si>
  <si>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</si>
  <si>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</si>
  <si>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</si>
  <si>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</si>
  <si>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</si>
  <si>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</si>
  <si>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</si>
  <si>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</si>
  <si>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</si>
  <si>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</si>
  <si>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</si>
  <si>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</si>
  <si>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</si>
  <si>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</si>
  <si>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</si>
  <si>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</si>
  <si>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</si>
  <si>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</si>
  <si>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</si>
  <si>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</si>
  <si>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</si>
  <si>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</si>
  <si>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</si>
  <si>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</si>
  <si>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</si>
  <si>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</si>
  <si>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</si>
  <si>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</si>
  <si>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</si>
  <si>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</si>
  <si>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</si>
  <si>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</si>
  <si>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</si>
  <si>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</si>
  <si>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</si>
  <si>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</si>
  <si>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</si>
  <si>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</si>
  <si>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</si>
  <si>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</si>
  <si>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</si>
  <si>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</si>
  <si>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</si>
  <si>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</si>
  <si>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</si>
  <si>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</si>
  <si>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</si>
  <si>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</si>
  <si>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</si>
  <si>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</si>
  <si>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</si>
  <si>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</si>
  <si>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</si>
  <si>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</si>
  <si>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</si>
  <si>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</si>
  <si>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</si>
  <si>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</si>
  <si>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</si>
  <si>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</si>
  <si>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</si>
  <si>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</si>
  <si>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</si>
  <si>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</si>
  <si>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</si>
  <si>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</si>
  <si>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</si>
  <si>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</si>
  <si>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</si>
  <si>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</si>
  <si>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</si>
  <si>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</si>
  <si>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</si>
  <si>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</si>
  <si>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</si>
  <si>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</si>
  <si>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</si>
  <si>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</si>
  <si>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</si>
  <si>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</si>
  <si>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</si>
  <si>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</si>
  <si>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</si>
  <si>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</si>
  <si>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</si>
  <si>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</si>
  <si>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</si>
  <si>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</si>
  <si>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</si>
  <si>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</si>
  <si>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</si>
  <si>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</si>
  <si>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</si>
  <si>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</si>
  <si>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</si>
  <si>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</si>
  <si>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</si>
  <si>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</si>
  <si>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</si>
  <si>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</si>
  <si>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</si>
  <si>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</si>
  <si>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</si>
  <si>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</si>
  <si>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</si>
  <si>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</si>
  <si>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</si>
  <si>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</si>
  <si>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</si>
  <si>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</si>
  <si>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</si>
  <si>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</si>
  <si>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</si>
  <si>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</si>
  <si>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</si>
  <si>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</si>
  <si>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</si>
  <si>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</si>
  <si>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</si>
  <si>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</si>
  <si>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</si>
  <si>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</si>
  <si>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</si>
  <si>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</si>
  <si>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</si>
  <si>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</si>
  <si>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</si>
  <si>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</si>
  <si>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</si>
  <si>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</si>
  <si>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</si>
  <si>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</si>
  <si>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</si>
  <si>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</si>
  <si>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</si>
  <si>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</si>
  <si>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</si>
  <si>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</si>
  <si>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</si>
  <si>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</si>
  <si>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</si>
  <si>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</si>
  <si>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</si>
  <si>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</si>
  <si>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</si>
  <si>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</si>
  <si>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</si>
  <si>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</si>
  <si>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</si>
  <si>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</si>
  <si>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</si>
  <si>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</si>
  <si>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</si>
  <si>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</si>
  <si>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</si>
  <si>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</si>
  <si>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</si>
  <si>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</si>
  <si>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</si>
  <si>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</si>
  <si>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</si>
  <si>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</si>
  <si>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</si>
  <si>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</si>
  <si>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</si>
  <si>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</si>
  <si>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</si>
  <si>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</si>
  <si>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</si>
  <si>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</si>
  <si>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</si>
  <si>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</si>
  <si>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</si>
  <si>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</si>
  <si>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</si>
  <si>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</si>
  <si>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</si>
  <si>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</si>
  <si>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</si>
  <si>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</si>
  <si>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</si>
  <si>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</si>
  <si>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</si>
  <si>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</si>
  <si>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</si>
  <si>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</si>
  <si>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</si>
  <si>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</si>
  <si>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</si>
  <si>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</si>
  <si>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</si>
  <si>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</si>
  <si>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</si>
  <si>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</si>
  <si>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</si>
  <si>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</si>
  <si>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</si>
  <si>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</si>
  <si>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</si>
  <si>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</si>
  <si>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</si>
  <si>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</si>
  <si>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</si>
  <si>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</si>
  <si>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</si>
  <si>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</si>
  <si>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</si>
  <si>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</si>
  <si>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</si>
  <si>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</si>
  <si>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</si>
  <si>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</si>
  <si>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</si>
  <si>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</si>
  <si>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</si>
  <si>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</si>
  <si>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</si>
  <si>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</si>
  <si>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</si>
  <si>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</si>
  <si>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</si>
  <si>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</si>
  <si>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</si>
  <si>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</si>
  <si>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</si>
  <si>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</si>
  <si>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</si>
  <si>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</si>
  <si>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</si>
  <si>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</si>
  <si>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</si>
  <si>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</si>
  <si>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</si>
  <si>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</si>
  <si>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</si>
  <si>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</si>
  <si>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</si>
  <si>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</si>
  <si>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</si>
  <si>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</si>
  <si>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</si>
  <si>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</si>
  <si>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</si>
  <si>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</si>
  <si>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</si>
  <si>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</si>
  <si>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</si>
  <si>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</si>
  <si>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</si>
  <si>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</si>
  <si>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</si>
  <si>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</si>
  <si>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</si>
  <si>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</si>
  <si>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</si>
  <si>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</si>
  <si>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</si>
  <si>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</si>
  <si>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</si>
  <si>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</si>
  <si>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</si>
  <si>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</si>
  <si>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</si>
  <si>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</si>
  <si>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</si>
  <si>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</si>
  <si>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</si>
  <si>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</si>
  <si>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</si>
  <si>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</si>
  <si>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</si>
  <si>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</si>
  <si>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</si>
  <si>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</si>
  <si>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</si>
  <si>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</si>
  <si>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</si>
  <si>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</si>
  <si>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</si>
  <si>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</si>
  <si>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</si>
  <si>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</si>
  <si>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</si>
  <si>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</si>
  <si>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</si>
  <si>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</si>
  <si>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</si>
  <si>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</si>
  <si>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</si>
  <si>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</si>
  <si>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</si>
  <si>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</si>
  <si>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</si>
  <si>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</si>
  <si>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</si>
  <si>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</si>
  <si>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</si>
  <si>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</si>
  <si>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</si>
  <si>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</si>
  <si>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</si>
  <si>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</si>
  <si>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</si>
  <si>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</si>
  <si>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</si>
  <si>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</si>
  <si>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</si>
  <si>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</si>
  <si>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</si>
  <si>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</si>
  <si>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</si>
  <si>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</si>
  <si>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</si>
  <si>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</si>
  <si>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</si>
  <si>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</si>
  <si>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</si>
  <si>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</si>
  <si>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</si>
  <si>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</si>
  <si>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</si>
  <si>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</si>
  <si>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</si>
  <si>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</si>
  <si>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</si>
  <si>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</si>
  <si>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</si>
  <si>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</si>
  <si>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</si>
  <si>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</si>
  <si>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</si>
  <si>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</si>
  <si>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</si>
  <si>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</si>
  <si>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</si>
  <si>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</si>
  <si>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</si>
  <si>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</si>
  <si>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</si>
  <si>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</si>
  <si>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</si>
  <si>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</si>
  <si>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</si>
  <si>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</si>
  <si>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</si>
  <si>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</si>
  <si>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</si>
  <si>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</si>
  <si>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</si>
  <si>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</si>
  <si>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</si>
  <si>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</si>
  <si>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</si>
  <si>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</si>
  <si>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</si>
  <si>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</si>
  <si>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</si>
  <si>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</si>
  <si>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</si>
  <si>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</si>
  <si>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</si>
  <si>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</si>
  <si>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</si>
  <si>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</si>
  <si>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</si>
  <si>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</si>
  <si>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</si>
  <si>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</si>
  <si>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</si>
  <si>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</si>
  <si>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</si>
  <si>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</si>
  <si>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</si>
  <si>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</si>
  <si>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</si>
  <si>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</si>
  <si>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</si>
  <si>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</si>
  <si>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</si>
  <si>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</si>
  <si>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</si>
  <si>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</si>
  <si>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</si>
  <si>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</si>
  <si>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</si>
  <si>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</si>
  <si>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</si>
  <si>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</si>
  <si>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</si>
  <si>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</si>
  <si>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</si>
  <si>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</si>
  <si>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</si>
  <si>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</si>
  <si>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</si>
  <si>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</si>
  <si>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</si>
  <si>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</si>
  <si>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</si>
  <si>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</si>
  <si>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</si>
  <si>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</si>
  <si>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</si>
  <si>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</si>
  <si>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</si>
  <si>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</si>
  <si>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</si>
  <si>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</si>
  <si>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</si>
  <si>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</si>
  <si>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</si>
  <si>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</si>
  <si>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</si>
  <si>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</si>
  <si>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</si>
  <si>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</si>
  <si>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</si>
  <si>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</si>
  <si>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</si>
  <si>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</si>
  <si>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</si>
  <si>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</si>
  <si>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</si>
  <si>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</si>
  <si>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</si>
  <si>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</si>
  <si>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</si>
  <si>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</si>
  <si>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</si>
  <si>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</si>
  <si>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</si>
  <si>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</si>
  <si>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</si>
  <si>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</si>
  <si>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</si>
  <si>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</si>
  <si>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</si>
  <si>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</si>
  <si>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</si>
  <si>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</si>
  <si>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</si>
  <si>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</si>
  <si>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</si>
  <si>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</si>
  <si>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</si>
  <si>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</si>
  <si>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</si>
  <si>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</si>
  <si>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</si>
  <si>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</si>
  <si>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</si>
  <si>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</si>
  <si>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</si>
  <si>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</si>
  <si>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</si>
  <si>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</si>
  <si>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</si>
  <si>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</si>
  <si>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</si>
  <si>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</si>
  <si>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</si>
  <si>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</si>
  <si>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</si>
  <si>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</si>
  <si>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</si>
  <si>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</si>
  <si>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</si>
  <si>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</si>
  <si>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</si>
  <si>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</si>
  <si>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</si>
  <si>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</si>
  <si>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</si>
  <si>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</si>
  <si>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</si>
  <si>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</si>
  <si>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</si>
  <si>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</si>
  <si>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</si>
  <si>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</si>
  <si>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</si>
  <si>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</si>
  <si>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</si>
  <si>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</si>
  <si>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</si>
  <si>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</si>
  <si>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</si>
  <si>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</si>
  <si>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</si>
  <si>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</si>
  <si>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</si>
  <si>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</si>
  <si>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</si>
  <si>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</si>
  <si>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</si>
  <si>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</si>
  <si>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</si>
  <si>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</si>
  <si>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</si>
  <si>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</si>
  <si>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</si>
  <si>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</si>
  <si>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</si>
  <si>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</si>
  <si>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</si>
  <si>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</si>
  <si>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</si>
  <si>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</si>
  <si>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</si>
  <si>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</si>
  <si>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</si>
  <si>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</si>
  <si>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</si>
  <si>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</si>
  <si>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</si>
  <si>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</si>
  <si>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</si>
  <si>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</si>
  <si>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</si>
  <si>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</si>
  <si>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</si>
  <si>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</si>
  <si>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</si>
  <si>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</si>
  <si>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</si>
  <si>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</si>
  <si>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</si>
  <si>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</si>
  <si>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</si>
  <si>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</si>
  <si>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</si>
  <si>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</si>
  <si>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</si>
  <si>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</si>
  <si>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</si>
  <si>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</si>
  <si>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</si>
  <si>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</si>
  <si>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</si>
  <si>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</si>
  <si>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</si>
  <si>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</si>
  <si>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</si>
  <si>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</si>
  <si>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</si>
  <si>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</si>
  <si>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</si>
  <si>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</si>
  <si>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</si>
  <si>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</si>
  <si>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</si>
  <si>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</si>
  <si>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</si>
  <si>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</si>
  <si>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</si>
  <si>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</si>
  <si>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</si>
  <si>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</si>
  <si>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</si>
  <si>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</si>
  <si>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</si>
  <si>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</si>
  <si>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</si>
  <si>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</si>
  <si>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</si>
  <si>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</si>
  <si>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</si>
  <si>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</si>
  <si>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</si>
  <si>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</si>
  <si>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</si>
  <si>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</si>
  <si>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</si>
  <si>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</si>
  <si>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</si>
  <si>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</si>
  <si>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</si>
  <si>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</si>
  <si>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</si>
  <si>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</si>
  <si>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</si>
  <si>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</si>
  <si>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</si>
  <si>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</si>
  <si>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</si>
  <si>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</si>
  <si>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</si>
  <si>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</si>
  <si>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</si>
  <si>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</si>
  <si>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</si>
  <si>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</si>
  <si>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</si>
  <si>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</si>
  <si>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</si>
  <si>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</si>
  <si>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</si>
  <si>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</si>
  <si>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</si>
  <si>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</si>
  <si>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</si>
  <si>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</si>
  <si>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</si>
  <si>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</si>
  <si>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</si>
  <si>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</si>
  <si>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</si>
  <si>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</si>
  <si>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</si>
  <si>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</si>
  <si>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</si>
  <si>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</si>
  <si>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</si>
  <si>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</si>
  <si>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</si>
  <si>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</si>
  <si>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</si>
  <si>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</si>
  <si>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</si>
  <si>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</si>
  <si>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</si>
  <si>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</si>
  <si>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</si>
  <si>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</si>
  <si>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</si>
  <si>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</si>
  <si>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</si>
  <si>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</si>
  <si>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</si>
  <si>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</si>
  <si>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</si>
  <si>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</si>
  <si>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</si>
  <si>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</si>
  <si>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</si>
  <si>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</si>
  <si>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</si>
  <si>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</si>
  <si>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</si>
  <si>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</si>
  <si>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</si>
  <si>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</si>
  <si>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</si>
  <si>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</si>
  <si>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</si>
  <si>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</si>
  <si>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</si>
  <si>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</si>
  <si>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</si>
  <si>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</si>
  <si>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</si>
  <si>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</si>
  <si>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</si>
  <si>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</si>
  <si>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</si>
  <si>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</si>
  <si>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</si>
  <si>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</si>
  <si>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</si>
  <si>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</si>
  <si>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</si>
  <si>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</si>
  <si>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</si>
  <si>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</si>
  <si>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</si>
  <si>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</si>
  <si>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</si>
  <si>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</si>
  <si>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</si>
  <si>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</si>
  <si>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</si>
  <si>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</si>
  <si>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</si>
  <si>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</si>
  <si>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</si>
  <si>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</si>
  <si>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</si>
  <si>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</si>
  <si>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</si>
  <si>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</si>
  <si>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</si>
  <si>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</si>
  <si>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</si>
  <si>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</si>
  <si>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</si>
  <si>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</si>
  <si>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</si>
  <si>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</si>
  <si>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</si>
  <si>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</si>
  <si>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</si>
  <si>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</si>
  <si>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</si>
  <si>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</si>
  <si>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</si>
  <si>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</si>
  <si>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</si>
  <si>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</si>
  <si>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</si>
  <si>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</si>
  <si>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</si>
  <si>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</si>
  <si>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</si>
  <si>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</si>
  <si>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</si>
  <si>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</si>
  <si>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</si>
  <si>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</si>
  <si>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</si>
  <si>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</si>
  <si>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</si>
  <si>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</si>
  <si>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</si>
  <si>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</si>
  <si>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</si>
  <si>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</si>
  <si>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</si>
  <si>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</si>
  <si>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</si>
  <si>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</si>
  <si>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</si>
  <si>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</si>
  <si>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</si>
  <si>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</si>
  <si>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</si>
  <si>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</si>
  <si>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</si>
  <si>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</si>
  <si>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</si>
  <si>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</si>
  <si>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</si>
  <si>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</si>
  <si>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</si>
  <si>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</si>
  <si>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</si>
  <si>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</si>
  <si>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</si>
  <si>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</si>
  <si>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</si>
  <si>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</si>
  <si>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</si>
  <si>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</si>
  <si>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</si>
  <si>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</si>
  <si>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</si>
  <si>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</si>
  <si>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</si>
  <si>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</si>
  <si>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</si>
  <si>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</si>
  <si>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</si>
  <si>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</si>
  <si>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</si>
  <si>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</si>
  <si>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</si>
  <si>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</si>
  <si>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</si>
  <si>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</si>
  <si>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</si>
  <si>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</si>
  <si>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</si>
  <si>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</si>
  <si>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</si>
  <si>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</si>
  <si>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</si>
  <si>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</si>
  <si>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</si>
  <si>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</si>
  <si>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</si>
  <si>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</si>
  <si>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</si>
  <si>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</si>
  <si>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</si>
  <si>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</si>
  <si>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</si>
  <si>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</si>
  <si>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</si>
  <si>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</si>
  <si>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</si>
  <si>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</si>
  <si>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</si>
  <si>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</si>
  <si>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</si>
  <si>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</si>
  <si>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</si>
  <si>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</si>
  <si>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</si>
  <si>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</si>
  <si>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</si>
  <si>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</si>
  <si>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</si>
  <si>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</si>
  <si>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</si>
  <si>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</si>
  <si>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</si>
  <si>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</si>
  <si>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</si>
  <si>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</si>
  <si>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</si>
  <si>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</si>
  <si>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</si>
  <si>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</si>
  <si>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</si>
  <si>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</si>
  <si>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</si>
  <si>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</si>
  <si>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</si>
  <si>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</si>
  <si>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</si>
  <si>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</si>
  <si>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</si>
  <si>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</si>
  <si>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</si>
  <si>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</si>
  <si>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</si>
  <si>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</si>
  <si>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</si>
  <si>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</si>
  <si>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</si>
  <si>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</si>
  <si>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</si>
  <si>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</si>
  <si>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</si>
  <si>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</si>
  <si>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</si>
  <si>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</si>
  <si>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</si>
  <si>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</si>
  <si>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</si>
  <si>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</si>
  <si>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</si>
  <si>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</si>
  <si>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</si>
  <si>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</si>
  <si>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</si>
  <si>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</si>
  <si>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</si>
  <si>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</si>
  <si>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</si>
  <si>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</si>
  <si>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</si>
  <si>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</si>
  <si>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</si>
  <si>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</si>
  <si>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</si>
  <si>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</si>
  <si>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</si>
  <si>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</si>
  <si>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</si>
  <si>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</si>
  <si>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</si>
  <si>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</si>
  <si>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</si>
  <si>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</si>
  <si>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</si>
  <si>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</si>
  <si>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</si>
  <si>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</si>
  <si>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</si>
  <si>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</si>
  <si>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</si>
  <si>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</si>
  <si>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</si>
  <si>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</si>
  <si>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</si>
  <si>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</si>
  <si>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</si>
  <si>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</si>
  <si>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</si>
  <si>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</si>
  <si>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</si>
  <si>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</si>
  <si>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</si>
  <si>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</si>
  <si>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</si>
  <si>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</si>
  <si>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</si>
  <si>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</si>
  <si>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</si>
  <si>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</si>
  <si>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</si>
  <si>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</si>
  <si>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</si>
  <si>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</si>
  <si>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</si>
  <si>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</si>
  <si>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</si>
  <si>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</si>
  <si>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</si>
  <si>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</si>
  <si>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</si>
  <si>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</si>
  <si>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</si>
  <si>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</si>
  <si>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</si>
  <si>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</si>
  <si>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</si>
  <si>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</si>
  <si>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</si>
  <si>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</si>
  <si>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</si>
  <si>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</si>
  <si>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</si>
  <si>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</si>
  <si>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</si>
  <si>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</si>
  <si>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</si>
  <si>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</si>
  <si>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</si>
  <si>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</si>
  <si>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</si>
  <si>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</si>
  <si>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</si>
  <si>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</si>
  <si>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</si>
  <si>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</si>
  <si>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</si>
  <si>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</si>
  <si>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</si>
  <si>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</si>
  <si>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</si>
  <si>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</si>
  <si>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</si>
  <si>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</si>
  <si>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</si>
  <si>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</si>
  <si>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</si>
  <si>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</si>
  <si>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</si>
  <si>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</si>
  <si>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</si>
  <si>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</si>
  <si>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</si>
  <si>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</si>
  <si>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</si>
  <si>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</si>
  <si>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</si>
  <si>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</si>
  <si>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</si>
  <si>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</si>
  <si>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</si>
  <si>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</si>
  <si>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</si>
  <si>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</si>
  <si>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</si>
  <si>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</si>
  <si>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</si>
  <si>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</si>
  <si>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</si>
  <si>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</si>
  <si>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</si>
  <si>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</si>
  <si>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</si>
  <si>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</si>
  <si>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</si>
  <si>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</si>
  <si>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</si>
  <si>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</si>
  <si>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</si>
  <si>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</si>
  <si>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</si>
  <si>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</si>
  <si>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</si>
  <si>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</si>
  <si>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</si>
  <si>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</si>
  <si>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</si>
  <si>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</si>
  <si>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</si>
  <si>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</si>
  <si>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</si>
  <si>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</si>
  <si>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</si>
  <si>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</si>
  <si>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</si>
  <si>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</si>
  <si>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</si>
  <si>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</si>
  <si>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</si>
  <si>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</si>
  <si>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</si>
  <si>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</si>
  <si>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</si>
  <si>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</si>
  <si>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</si>
  <si>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</si>
  <si>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</si>
  <si>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</si>
  <si>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</si>
  <si>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</si>
  <si>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</si>
  <si>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</si>
  <si>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</si>
  <si>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</si>
  <si>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</si>
  <si>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</si>
  <si>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</si>
  <si>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</si>
  <si>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</si>
  <si>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</si>
  <si>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</si>
  <si>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</si>
  <si>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</si>
  <si>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</si>
  <si>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</si>
  <si>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</si>
  <si>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</si>
  <si>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</si>
  <si>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</si>
  <si>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</si>
  <si>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</si>
  <si>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</si>
  <si>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</si>
  <si>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</si>
  <si>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</si>
  <si>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</si>
  <si>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</si>
  <si>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</si>
  <si>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</si>
  <si>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</si>
  <si>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</si>
  <si>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</si>
  <si>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</si>
  <si>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</si>
  <si>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</si>
  <si>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</si>
  <si>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</si>
  <si>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</si>
  <si>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</si>
  <si>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</si>
  <si>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</si>
  <si>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</si>
  <si>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</si>
  <si>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</si>
  <si>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</si>
  <si>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</si>
  <si>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</si>
  <si>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</si>
  <si>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</si>
  <si>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</si>
  <si>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</si>
  <si>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</si>
  <si>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</si>
  <si>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</si>
  <si>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</si>
  <si>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</si>
  <si>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</si>
  <si>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</si>
  <si>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</si>
  <si>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</si>
  <si>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</si>
  <si>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</si>
  <si>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</si>
  <si>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</si>
  <si>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</si>
  <si>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</si>
  <si>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</si>
  <si>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</si>
  <si>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</si>
  <si>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</si>
  <si>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</si>
  <si>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</si>
  <si>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</si>
  <si>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</si>
  <si>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</si>
  <si>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</si>
  <si>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</si>
  <si>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</si>
  <si>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</si>
  <si>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</si>
  <si>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</si>
  <si>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</si>
  <si>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</si>
  <si>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</si>
  <si>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</si>
  <si>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</si>
  <si>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</si>
  <si>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</si>
  <si>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</si>
  <si>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</si>
  <si>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</si>
  <si>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</si>
  <si>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</si>
  <si>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</si>
  <si>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</si>
  <si>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</si>
  <si>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</si>
  <si>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</si>
  <si>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</si>
  <si>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</si>
  <si>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</si>
  <si>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</si>
  <si>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</si>
  <si>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</si>
  <si>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</si>
  <si>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</si>
  <si>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</si>
  <si>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</si>
  <si>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</si>
  <si>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</si>
  <si>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</si>
  <si>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</si>
  <si>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</si>
  <si>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</si>
  <si>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</si>
  <si>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</si>
  <si>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</si>
  <si>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</si>
  <si>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</si>
  <si>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</si>
  <si>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</si>
  <si>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</si>
  <si>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</si>
  <si>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</si>
  <si>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</si>
  <si>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</si>
  <si>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</si>
  <si>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</si>
  <si>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</si>
  <si>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</si>
  <si>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</si>
  <si>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</si>
  <si>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</si>
  <si>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</si>
  <si>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</si>
  <si>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</si>
  <si>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</si>
  <si>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</si>
  <si>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</si>
  <si>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</si>
  <si>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</si>
  <si>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</si>
  <si>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</si>
  <si>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</si>
  <si>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</si>
  <si>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</si>
  <si>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</si>
  <si>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</si>
  <si>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</si>
  <si>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</si>
  <si>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</si>
  <si>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</si>
  <si>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</si>
  <si>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</si>
  <si>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</si>
  <si>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</si>
  <si>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</si>
  <si>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</si>
  <si>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</si>
  <si>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</si>
  <si>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</si>
  <si>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</si>
  <si>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</si>
  <si>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</si>
  <si>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</si>
  <si>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</si>
  <si>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</si>
  <si>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</si>
  <si>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</si>
  <si>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</si>
  <si>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</si>
  <si>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</si>
  <si>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</si>
  <si>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</si>
  <si>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</si>
  <si>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</si>
  <si>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</si>
  <si>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</si>
  <si>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</si>
  <si>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</si>
  <si>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</si>
  <si>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</si>
  <si>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</si>
  <si>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</si>
  <si>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</si>
  <si>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</si>
  <si>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</si>
  <si>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</si>
  <si>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</si>
  <si>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</si>
  <si>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</si>
  <si>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</si>
  <si>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</si>
  <si>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</si>
  <si>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</si>
  <si>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</si>
  <si>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</si>
  <si>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</si>
  <si>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</si>
  <si>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</si>
  <si>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</si>
  <si>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</si>
  <si>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</si>
  <si>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</si>
  <si>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</si>
  <si>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</si>
  <si>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</si>
  <si>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</si>
  <si>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</si>
  <si>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</si>
  <si>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</si>
  <si>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</si>
  <si>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</si>
  <si>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</si>
  <si>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</si>
  <si>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</si>
  <si>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</si>
  <si>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</si>
  <si>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</si>
  <si>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</si>
  <si>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</si>
  <si>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</si>
  <si>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</si>
  <si>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</si>
  <si>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</si>
  <si>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</si>
  <si>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</si>
  <si>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</si>
  <si>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</si>
  <si>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</si>
  <si>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</si>
  <si>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</si>
  <si>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</si>
  <si>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</si>
  <si>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</si>
  <si>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</si>
  <si>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</si>
  <si>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</si>
  <si>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</si>
  <si>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</si>
  <si>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</si>
  <si>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</si>
  <si>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</si>
  <si>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</si>
  <si>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</si>
  <si>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</si>
  <si>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</si>
  <si>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</si>
  <si>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</si>
  <si>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</si>
  <si>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</si>
  <si>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</si>
  <si>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</si>
  <si>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</si>
  <si>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</si>
  <si>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</si>
  <si>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</si>
  <si>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</si>
  <si>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</si>
  <si>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</si>
  <si>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</si>
  <si>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</si>
  <si>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</si>
  <si>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</si>
  <si>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</si>
  <si>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</si>
  <si>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</si>
  <si>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</si>
  <si>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</si>
  <si>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</si>
  <si>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</si>
  <si>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</si>
  <si>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</si>
  <si>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</si>
  <si>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</si>
  <si>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</si>
  <si>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</si>
  <si>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</si>
  <si>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</si>
  <si>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</si>
  <si>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</si>
  <si>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</si>
  <si>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</si>
  <si>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</si>
  <si>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</si>
  <si>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</si>
  <si>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</si>
  <si>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</si>
  <si>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</si>
  <si>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</si>
  <si>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</si>
  <si>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</si>
  <si>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</si>
  <si>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</si>
  <si>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</si>
  <si>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</si>
  <si>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</si>
  <si>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</si>
  <si>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</si>
  <si>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</si>
  <si>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</si>
  <si>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</si>
  <si>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</si>
  <si>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</si>
  <si>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</si>
  <si>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</si>
  <si>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</si>
  <si>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</si>
  <si>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</si>
  <si>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</si>
  <si>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</si>
  <si>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</si>
  <si>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</si>
  <si>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</si>
  <si>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</si>
  <si>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</si>
  <si>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</si>
  <si>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</si>
  <si>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</si>
  <si>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</si>
  <si>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</si>
  <si>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</si>
  <si>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</si>
  <si>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</si>
  <si>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</si>
  <si>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</si>
  <si>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</si>
  <si>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</si>
  <si>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</si>
  <si>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</si>
  <si>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</si>
  <si>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</si>
  <si>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</si>
  <si>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</si>
  <si>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</si>
  <si>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</si>
  <si>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</si>
  <si>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</si>
  <si>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</si>
  <si>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</si>
  <si>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</si>
  <si>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</si>
  <si>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</si>
  <si>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</si>
  <si>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</si>
  <si>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</si>
  <si>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</si>
  <si>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</si>
  <si>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</si>
  <si>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</si>
  <si>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</si>
  <si>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</si>
  <si>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</si>
  <si>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</si>
  <si>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</si>
  <si>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</si>
  <si>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</si>
  <si>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</si>
  <si>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</si>
  <si>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</si>
  <si>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</si>
  <si>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</si>
  <si>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</si>
  <si>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</si>
  <si>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</si>
  <si>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PENANAMAN TIANG BETON</t>
  </si>
  <si>
    <t>II</t>
  </si>
  <si>
    <t>IV</t>
  </si>
  <si>
    <t>PEKERJAAN LAIN-LAIN</t>
  </si>
  <si>
    <t xml:space="preserve">Pemasangan APP </t>
  </si>
  <si>
    <t>KONSTRUKSI JTR 3 PHASE</t>
  </si>
  <si>
    <t>PLN</t>
  </si>
  <si>
    <t>R3</t>
  </si>
  <si>
    <t>Pemasangan APP 1 Fasa Di Bangunan</t>
  </si>
  <si>
    <t>KOORDINAT : -6.899982578559648, 110.63230293700381</t>
  </si>
  <si>
    <t>Daya 11.000 VA</t>
  </si>
  <si>
    <t>DS GENGGONGAN DEMAK</t>
  </si>
  <si>
    <t>LAPANGAN TENIS KEMENAG</t>
  </si>
  <si>
    <t>Demak, 31 Januari 2024</t>
  </si>
  <si>
    <t>MANAGER ULP</t>
  </si>
  <si>
    <t>ACHMAD SUHENDRO</t>
  </si>
  <si>
    <t>Staf teknik</t>
  </si>
  <si>
    <t>TL Teknik</t>
  </si>
  <si>
    <t>Manager ULP</t>
  </si>
  <si>
    <t>Manager Perencanaan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</si>
</sst>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2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167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67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180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7" fontId="36" fillId="0" borderId="0" applyFont="0" applyFill="0" applyBorder="0" applyAlignment="0" applyProtection="0"/>
    <xf numFmtId="177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8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7" fillId="0" borderId="0" applyFont="0" applyFill="0" applyBorder="0" applyAlignment="0" applyProtection="0"/>
    <xf numFmtId="185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206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6" fontId="36" fillId="0" borderId="3"/>
    <xf numFmtId="186" fontId="22" fillId="0" borderId="3"/>
    <xf numFmtId="164" fontId="23" fillId="0" borderId="0" applyFont="0" applyFill="0" applyBorder="0" applyAlignment="0" applyProtection="0"/>
    <xf numFmtId="164" fontId="48" fillId="0" borderId="0" applyFont="0" applyFill="0" applyBorder="0" applyAlignment="0" applyProtection="0"/>
    <xf numFmtId="173" fontId="36" fillId="0" borderId="0" applyFont="0" applyFill="0" applyBorder="0" applyAlignment="0" applyProtection="0"/>
    <xf numFmtId="173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66" fontId="36" fillId="0" borderId="0" applyFont="0" applyFill="0" applyBorder="0" applyAlignment="0" applyProtection="0"/>
    <xf numFmtId="166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70" fillId="0" borderId="0" applyFont="0" applyFill="0" applyBorder="0" applyAlignment="0" applyProtection="0"/>
    <xf numFmtId="188" fontId="72" fillId="0" borderId="0">
      <protection locked="0"/>
    </xf>
    <xf numFmtId="14" fontId="64" fillId="0" borderId="0" applyFill="0" applyBorder="0" applyAlignment="0"/>
    <xf numFmtId="189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90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1" fontId="77" fillId="0" borderId="0">
      <protection locked="0"/>
    </xf>
    <xf numFmtId="191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2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3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22" fillId="0" borderId="0"/>
    <xf numFmtId="193" fontId="36" fillId="0" borderId="0"/>
    <xf numFmtId="172" fontId="83" fillId="0" borderId="0"/>
    <xf numFmtId="172" fontId="84" fillId="0" borderId="0"/>
    <xf numFmtId="172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4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2" fontId="84" fillId="0" borderId="0"/>
    <xf numFmtId="0" fontId="84" fillId="0" borderId="0"/>
    <xf numFmtId="195" fontId="84" fillId="0" borderId="0"/>
    <xf numFmtId="196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5" fontId="84" fillId="0" borderId="0"/>
    <xf numFmtId="0" fontId="84" fillId="0" borderId="0"/>
    <xf numFmtId="0" fontId="36" fillId="0" borderId="0"/>
    <xf numFmtId="0" fontId="22" fillId="0" borderId="0"/>
    <xf numFmtId="182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7" fontId="84" fillId="0" borderId="0"/>
    <xf numFmtId="199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4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4" fontId="43" fillId="0" borderId="0"/>
    <xf numFmtId="194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200" fontId="36" fillId="0" borderId="0" applyFont="0" applyFill="0" applyBorder="0" applyAlignment="0" applyProtection="0"/>
    <xf numFmtId="200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4" fillId="0" borderId="0"/>
    <xf numFmtId="201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36" fillId="0" borderId="0" applyFill="0" applyBorder="0" applyAlignment="0"/>
    <xf numFmtId="203" fontId="22" fillId="0" borderId="0" applyFill="0" applyBorder="0" applyAlignment="0"/>
    <xf numFmtId="204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9" fillId="0" borderId="0"/>
    <xf numFmtId="41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41" fontId="175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6" fillId="0" borderId="0"/>
    <xf numFmtId="41" fontId="22" fillId="0" borderId="0" applyFont="0" applyFill="0" applyBorder="0" applyAlignment="0" applyProtection="0"/>
    <xf numFmtId="0" fontId="6" fillId="0" borderId="0"/>
    <xf numFmtId="43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1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6" fillId="0" borderId="0"/>
    <xf numFmtId="0" fontId="16" fillId="0" borderId="0"/>
    <xf numFmtId="0" fontId="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8" fillId="0" borderId="100"/>
    <xf numFmtId="0" fontId="89" fillId="0" borderId="101"/>
    <xf numFmtId="43" fontId="22" fillId="0" borderId="0" applyFont="0" applyFill="0" applyBorder="0" applyAlignment="0" applyProtection="0"/>
  </cellStyleXfs>
  <cellXfs count="706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165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165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165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167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9" fontId="45" fillId="0" borderId="0" xfId="714" applyFont="1" applyFill="1" applyAlignment="1">
      <alignment horizontal="center" wrapText="1"/>
    </xf>
    <xf numFmtId="169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9" fontId="45" fillId="0" borderId="21" xfId="715" applyNumberFormat="1" applyFont="1" applyFill="1" applyBorder="1" applyAlignment="1">
      <alignment horizontal="center" vertical="center" wrapText="1"/>
    </xf>
    <xf numFmtId="169" fontId="45" fillId="0" borderId="21" xfId="714" applyFont="1" applyFill="1" applyBorder="1" applyAlignment="1">
      <alignment horizontal="center" vertical="center" wrapText="1"/>
    </xf>
    <xf numFmtId="169" fontId="45" fillId="0" borderId="33" xfId="714" applyFont="1" applyFill="1" applyBorder="1" applyAlignment="1">
      <alignment horizontal="center" vertical="center" wrapText="1"/>
    </xf>
    <xf numFmtId="167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167" fontId="44" fillId="0" borderId="0" xfId="1615" applyNumberFormat="1" applyFont="1" applyAlignment="1">
      <alignment horizontal="left" vertical="center"/>
    </xf>
    <xf numFmtId="167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7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165" fontId="96" fillId="0" borderId="0" xfId="1448" applyNumberFormat="1" applyFont="1" applyAlignment="1">
      <alignment wrapText="1"/>
    </xf>
    <xf numFmtId="165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9" fontId="45" fillId="0" borderId="21" xfId="717" applyNumberFormat="1" applyFont="1" applyFill="1" applyBorder="1" applyAlignment="1" applyProtection="1">
      <alignment horizontal="center" vertical="center" wrapText="1"/>
    </xf>
    <xf numFmtId="165" fontId="45" fillId="0" borderId="21" xfId="1451" applyNumberFormat="1" applyFont="1" applyBorder="1" applyAlignment="1">
      <alignment horizontal="center" vertical="center" wrapText="1"/>
    </xf>
    <xf numFmtId="169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9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9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9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167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93" fillId="33" borderId="68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9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20" fillId="33" borderId="7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21" fillId="33" borderId="72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165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9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3" fillId="0" borderId="0" xfId="1538"/>
    <xf numFmtId="167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167" fontId="0" fillId="0" borderId="3" xfId="1026" applyFont="1" applyFill="1" applyBorder="1" applyProtection="1"/>
    <xf numFmtId="167" fontId="113" fillId="0" borderId="3" xfId="1538" applyNumberFormat="1" applyBorder="1"/>
    <xf numFmtId="167" fontId="141" fillId="0" borderId="3" xfId="1026" applyFont="1" applyBorder="1" applyProtection="1"/>
    <xf numFmtId="167" fontId="0" fillId="0" borderId="3" xfId="1026" applyFont="1" applyBorder="1" applyProtection="1"/>
    <xf numFmtId="167" fontId="129" fillId="0" borderId="3" xfId="1538" applyNumberFormat="1" applyFont="1" applyBorder="1"/>
    <xf numFmtId="0" fontId="62" fillId="0" borderId="3" xfId="1538" applyFont="1" applyBorder="1"/>
    <xf numFmtId="165" fontId="113" fillId="0" borderId="3" xfId="1538" applyNumberFormat="1" applyBorder="1"/>
    <xf numFmtId="167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167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167" fontId="50" fillId="0" borderId="0" xfId="1538" applyNumberFormat="1" applyFont="1"/>
    <xf numFmtId="0" fontId="113" fillId="29" borderId="3" xfId="1538" applyFill="1" applyBorder="1"/>
    <xf numFmtId="169" fontId="113" fillId="29" borderId="3" xfId="1538" applyNumberFormat="1" applyFill="1" applyBorder="1" applyAlignment="1">
      <alignment horizontal="right"/>
    </xf>
    <xf numFmtId="43" fontId="113" fillId="0" borderId="0" xfId="1538" applyNumberFormat="1"/>
    <xf numFmtId="167" fontId="113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167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2" fillId="0" borderId="20" xfId="1615" applyFont="1" applyBorder="1" applyAlignment="1">
      <alignment horizontal="center" vertical="center"/>
    </xf>
    <xf numFmtId="0" fontId="152" fillId="0" borderId="21" xfId="1615" applyFont="1" applyBorder="1" applyAlignment="1">
      <alignment horizontal="left" vertical="center" wrapText="1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451" applyFont="1" applyBorder="1" applyAlignment="1">
      <alignment horizontal="left" vertical="center" wrapText="1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7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3" fontId="151" fillId="0" borderId="39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165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83" xfId="2670" applyFont="1" applyFill="1" applyBorder="1" applyAlignment="1">
      <alignment horizontal="left" vertical="center"/>
    </xf>
    <xf numFmtId="0" fontId="161" fillId="39" borderId="84" xfId="2670" applyFont="1" applyFill="1" applyBorder="1" applyAlignment="1">
      <alignment horizontal="center" vertical="center"/>
    </xf>
    <xf numFmtId="0" fontId="161" fillId="39" borderId="86" xfId="2670" applyFont="1" applyFill="1" applyBorder="1" applyAlignment="1">
      <alignment horizontal="left" vertical="center"/>
    </xf>
    <xf numFmtId="0" fontId="161" fillId="39" borderId="82" xfId="2670" applyFont="1" applyFill="1" applyBorder="1" applyAlignment="1">
      <alignment horizontal="center" vertical="center"/>
    </xf>
    <xf numFmtId="0" fontId="161" fillId="39" borderId="88" xfId="2670" applyFont="1" applyFill="1" applyBorder="1" applyAlignment="1">
      <alignment horizontal="left" vertical="center"/>
    </xf>
    <xf numFmtId="0" fontId="161" fillId="39" borderId="89" xfId="2670" applyFont="1" applyFill="1" applyBorder="1" applyAlignment="1">
      <alignment horizontal="center" vertical="center"/>
    </xf>
    <xf numFmtId="167" fontId="142" fillId="40" borderId="85" xfId="2672" applyFont="1" applyFill="1" applyBorder="1" applyAlignment="1" applyProtection="1">
      <alignment horizontal="right" vertical="center" wrapText="1"/>
      <protection locked="0"/>
    </xf>
    <xf numFmtId="167" fontId="142" fillId="40" borderId="87" xfId="2672" applyFont="1" applyFill="1" applyBorder="1" applyAlignment="1" applyProtection="1">
      <alignment horizontal="right" vertical="center"/>
      <protection locked="0"/>
    </xf>
    <xf numFmtId="169" fontId="142" fillId="40" borderId="87" xfId="2672" applyNumberFormat="1" applyFont="1" applyFill="1" applyBorder="1" applyAlignment="1" applyProtection="1">
      <alignment horizontal="right" vertical="center"/>
      <protection locked="0"/>
    </xf>
    <xf numFmtId="169" fontId="142" fillId="40" borderId="90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4" xfId="2673" applyFont="1" applyFill="1" applyBorder="1" applyAlignment="1">
      <alignment vertical="center" wrapText="1"/>
    </xf>
    <xf numFmtId="0" fontId="148" fillId="43" borderId="94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8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49" fontId="93" fillId="33" borderId="60" xfId="0" applyNumberFormat="1" applyFont="1" applyFill="1" applyBorder="1" applyAlignment="1">
      <alignment horizontal="left" vertical="center" wrapText="1"/>
    </xf>
    <xf numFmtId="49" fontId="93" fillId="33" borderId="61" xfId="0" applyNumberFormat="1" applyFont="1" applyFill="1" applyBorder="1" applyAlignment="1">
      <alignment horizontal="left" vertical="center"/>
    </xf>
    <xf numFmtId="41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7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9" fontId="146" fillId="47" borderId="0" xfId="2672" applyNumberFormat="1" applyFont="1" applyFill="1" applyBorder="1" applyAlignment="1" applyProtection="1">
      <alignment horizontal="right" vertical="center"/>
    </xf>
    <xf numFmtId="0" fontId="176" fillId="0" borderId="69" xfId="1450" applyFont="1" applyBorder="1" applyAlignment="1">
      <alignment horizontal="center" vertical="center"/>
    </xf>
    <xf numFmtId="0" fontId="176" fillId="0" borderId="99" xfId="1450" applyFont="1" applyBorder="1" applyAlignment="1">
      <alignment horizontal="center" vertical="center"/>
    </xf>
    <xf numFmtId="0" fontId="7" fillId="0" borderId="20" xfId="1652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7" fillId="0" borderId="21" xfId="1652" applyFont="1" applyBorder="1" applyAlignment="1">
      <alignment horizontal="left" vertical="center" wrapText="1"/>
    </xf>
    <xf numFmtId="0" fontId="129" fillId="0" borderId="21" xfId="1652" applyFont="1" applyBorder="1" applyAlignment="1">
      <alignment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horizontal="left" vertical="center" wrapText="1"/>
    </xf>
    <xf numFmtId="0" fontId="4" fillId="0" borderId="21" xfId="1652" applyFont="1" applyBorder="1" applyAlignment="1">
      <alignment horizontal="left"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0" fontId="116" fillId="33" borderId="0" xfId="0" applyFont="1" applyFill="1" applyAlignment="1">
      <alignment horizontal="left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0" fontId="53" fillId="0" borderId="3" xfId="1614" applyFont="1" applyBorder="1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169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9" fillId="0" borderId="96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7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43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5" xfId="2673" applyNumberFormat="1" applyFont="1" applyFill="1" applyBorder="1" applyAlignment="1">
      <alignment horizontal="center" vertical="center" wrapText="1"/>
    </xf>
    <xf numFmtId="0" fontId="165" fillId="41" borderId="91" xfId="2673" applyFont="1" applyFill="1" applyBorder="1" applyAlignment="1">
      <alignment horizontal="center" vertical="center" wrapText="1"/>
    </xf>
    <xf numFmtId="0" fontId="165" fillId="41" borderId="92" xfId="2673" applyFont="1" applyFill="1" applyBorder="1" applyAlignment="1">
      <alignment horizontal="center" vertical="center" wrapText="1"/>
    </xf>
    <xf numFmtId="0" fontId="165" fillId="41" borderId="93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43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0" fontId="165" fillId="42" borderId="91" xfId="2673" applyFont="1" applyFill="1" applyBorder="1" applyAlignment="1">
      <alignment horizontal="center" vertical="center" wrapText="1"/>
    </xf>
    <xf numFmtId="0" fontId="165" fillId="42" borderId="92" xfId="2673" applyFont="1" applyFill="1" applyBorder="1" applyAlignment="1">
      <alignment horizontal="center" vertical="center" wrapText="1"/>
    </xf>
    <xf numFmtId="0" fontId="165" fillId="42" borderId="93" xfId="2673" applyFont="1" applyFill="1" applyBorder="1" applyAlignment="1">
      <alignment horizontal="center" vertical="center" wrapText="1"/>
    </xf>
    <xf numFmtId="43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5" xfId="2673" applyNumberFormat="1" applyFont="1" applyFill="1" applyBorder="1" applyAlignment="1">
      <alignment horizontal="center" vertical="center" wrapText="1"/>
    </xf>
    <xf numFmtId="0" fontId="10" fillId="34" borderId="77" xfId="2670" applyFill="1" applyBorder="1" applyAlignment="1">
      <alignment horizontal="center" vertical="center"/>
    </xf>
    <xf numFmtId="0" fontId="140" fillId="0" borderId="78" xfId="2670" applyFont="1" applyBorder="1" applyAlignment="1">
      <alignment horizontal="left" vertical="center"/>
    </xf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horizontal="center" vertical="center"/>
    </xf>
    <xf numFmtId="0" fontId="113" fillId="38" borderId="3" xfId="1538" applyFill="1" applyBorder="1" applyAlignment="1">
      <alignment horizontal="center" vertical="center" wrapText="1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208" fontId="176" fillId="0" borderId="73" xfId="1450" applyNumberFormat="1" applyFont="1" applyBorder="1" applyAlignment="1">
      <alignment horizontal="left" vertical="center"/>
    </xf>
    <xf numFmtId="208" fontId="176" fillId="0" borderId="74" xfId="1450" applyNumberFormat="1" applyFont="1" applyBorder="1" applyAlignment="1">
      <alignment horizontal="left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49" fontId="116" fillId="33" borderId="50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93" fillId="33" borderId="60" xfId="0" applyFont="1" applyFill="1" applyBorder="1" applyAlignment="1">
      <alignment horizontal="left" vertical="center"/>
    </xf>
    <xf numFmtId="0" fontId="93" fillId="33" borderId="79" xfId="0" applyFont="1" applyFill="1" applyBorder="1" applyAlignment="1">
      <alignment horizontal="left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0" fontId="93" fillId="33" borderId="80" xfId="0" applyFont="1" applyFill="1" applyBorder="1" applyAlignment="1">
      <alignment horizontal="center" vertical="center"/>
    </xf>
    <xf numFmtId="0" fontId="93" fillId="33" borderId="81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center"/>
    </xf>
    <xf numFmtId="0" fontId="120" fillId="33" borderId="73" xfId="0" applyFont="1" applyFill="1" applyBorder="1" applyAlignment="1">
      <alignment horizontal="center" vertical="center"/>
    </xf>
    <xf numFmtId="0" fontId="120" fillId="33" borderId="74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93" fillId="33" borderId="61" xfId="0" applyFont="1" applyFill="1" applyBorder="1" applyAlignment="1">
      <alignment horizontal="left" vertical="center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15" fontId="116" fillId="33" borderId="3" xfId="0" applyNumberFormat="1" applyFont="1" applyFill="1" applyBorder="1" applyAlignment="1">
      <alignment horizontal="center"/>
    </xf>
    <xf numFmtId="0" fontId="93" fillId="33" borderId="59" xfId="0" applyFont="1" applyFill="1" applyBorder="1" applyAlignment="1">
      <alignment horizontal="center" vertical="center"/>
    </xf>
    <xf numFmtId="0" fontId="93" fillId="33" borderId="40" xfId="0" applyFont="1" applyFill="1" applyBorder="1" applyAlignment="1">
      <alignment horizontal="center" vertical="center"/>
    </xf>
    <xf numFmtId="0" fontId="121" fillId="33" borderId="75" xfId="0" applyFont="1" applyFill="1" applyBorder="1" applyAlignment="1">
      <alignment horizontal="center" vertical="center" wrapText="1"/>
    </xf>
    <xf numFmtId="0" fontId="121" fillId="33" borderId="76" xfId="0" applyFont="1" applyFill="1" applyBorder="1" applyAlignment="1">
      <alignment horizontal="center" vertical="center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0" fontId="116" fillId="33" borderId="64" xfId="0" applyFont="1" applyFill="1" applyBorder="1" applyAlignment="1">
      <alignment horizont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9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0.65999999999999992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0.96094178803921293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emf"/><Relationship Id="rId13" Type="http://schemas.openxmlformats.org/officeDocument/2006/relationships/image" Target="../media/image27.emf"/><Relationship Id="rId3" Type="http://schemas.openxmlformats.org/officeDocument/2006/relationships/image" Target="../media/image17.emf"/><Relationship Id="rId7" Type="http://schemas.openxmlformats.org/officeDocument/2006/relationships/image" Target="../media/image21.emf"/><Relationship Id="rId12" Type="http://schemas.openxmlformats.org/officeDocument/2006/relationships/image" Target="../media/image26.emf"/><Relationship Id="rId2" Type="http://schemas.openxmlformats.org/officeDocument/2006/relationships/image" Target="../media/image16.emf"/><Relationship Id="rId1" Type="http://schemas.openxmlformats.org/officeDocument/2006/relationships/image" Target="../media/image15.emf"/><Relationship Id="rId6" Type="http://schemas.openxmlformats.org/officeDocument/2006/relationships/image" Target="../media/image20.emf"/><Relationship Id="rId11" Type="http://schemas.openxmlformats.org/officeDocument/2006/relationships/image" Target="../media/image25.emf"/><Relationship Id="rId5" Type="http://schemas.openxmlformats.org/officeDocument/2006/relationships/image" Target="../media/image19.emf"/><Relationship Id="rId10" Type="http://schemas.openxmlformats.org/officeDocument/2006/relationships/image" Target="../media/image24.emf"/><Relationship Id="rId4" Type="http://schemas.openxmlformats.org/officeDocument/2006/relationships/image" Target="../media/image18.emf"/><Relationship Id="rId9" Type="http://schemas.openxmlformats.org/officeDocument/2006/relationships/image" Target="../media/image23.emf"/><Relationship Id="rId14" Type="http://schemas.openxmlformats.org/officeDocument/2006/relationships/image" Target="../media/image28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00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01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B8C8E68-4E1C-451B-9088-EF81CFB4F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87" y="192698"/>
          <a:ext cx="827374" cy="812260"/>
        </a:xfrm>
        <a:prstGeom prst="rect">
          <a:avLst/>
        </a:prstGeom>
      </xdr:spPr>
    </xdr:pic>
    <xdr:clientData/>
  </xdr:twoCellAnchor>
  <xdr:twoCellAnchor>
    <xdr:from>
      <xdr:col>26</xdr:col>
      <xdr:colOff>93498</xdr:colOff>
      <xdr:row>5</xdr:row>
      <xdr:rowOff>31607</xdr:rowOff>
    </xdr:from>
    <xdr:to>
      <xdr:col>29</xdr:col>
      <xdr:colOff>378135</xdr:colOff>
      <xdr:row>17</xdr:row>
      <xdr:rowOff>4634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5FF559FE-3B3D-4610-A5A3-0E9CD31F922E}"/>
            </a:ext>
          </a:extLst>
        </xdr:cNvPr>
        <xdr:cNvGrpSpPr/>
      </xdr:nvGrpSpPr>
      <xdr:grpSpPr>
        <a:xfrm>
          <a:off x="9585653" y="813314"/>
          <a:ext cx="1486758" cy="1799199"/>
          <a:chOff x="9713886" y="808452"/>
          <a:chExt cx="1342558" cy="1766630"/>
        </a:xfrm>
      </xdr:grpSpPr>
      <xdr:grpSp>
        <xdr:nvGrpSpPr>
          <xdr:cNvPr id="114" name="Group 13">
            <a:extLst>
              <a:ext uri="{FF2B5EF4-FFF2-40B4-BE49-F238E27FC236}">
                <a16:creationId xmlns:a16="http://schemas.microsoft.com/office/drawing/2014/main" id="{1392328E-D318-4532-8ADC-433EF7A9262F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73" name="Oval 1">
              <a:extLst>
                <a:ext uri="{FF2B5EF4-FFF2-40B4-BE49-F238E27FC236}">
                  <a16:creationId xmlns:a16="http://schemas.microsoft.com/office/drawing/2014/main" id="{269859A5-6170-4CB2-9871-7B3C9107A9D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4" name="Straight Connector 3">
              <a:extLst>
                <a:ext uri="{FF2B5EF4-FFF2-40B4-BE49-F238E27FC236}">
                  <a16:creationId xmlns:a16="http://schemas.microsoft.com/office/drawing/2014/main" id="{247FF49D-1040-448A-ACC9-DD32A8C6CA54}"/>
                </a:ext>
              </a:extLst>
            </xdr:cNvPr>
            <xdr:cNvCxnSpPr>
              <a:stCxn id="130" idx="1"/>
              <a:endCxn id="13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5" name="Straight Connector 7">
              <a:extLst>
                <a:ext uri="{FF2B5EF4-FFF2-40B4-BE49-F238E27FC236}">
                  <a16:creationId xmlns:a16="http://schemas.microsoft.com/office/drawing/2014/main" id="{4BBBAC34-1568-47B8-8DAD-3C47DAEC150C}"/>
                </a:ext>
              </a:extLst>
            </xdr:cNvPr>
            <xdr:cNvCxnSpPr>
              <a:stCxn id="130" idx="3"/>
              <a:endCxn id="13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B158E6CE-7D6E-475C-A8A3-CB8AD5EF5174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6" name="Group 115">
            <a:extLst>
              <a:ext uri="{FF2B5EF4-FFF2-40B4-BE49-F238E27FC236}">
                <a16:creationId xmlns:a16="http://schemas.microsoft.com/office/drawing/2014/main" id="{A84884A8-2261-49E7-A1F9-3BDB539181E5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70" name="Oval 169">
              <a:extLst>
                <a:ext uri="{FF2B5EF4-FFF2-40B4-BE49-F238E27FC236}">
                  <a16:creationId xmlns:a16="http://schemas.microsoft.com/office/drawing/2014/main" id="{0A78F262-AF33-4609-A17B-1645843ED53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1" name="Straight Connector 170">
              <a:extLst>
                <a:ext uri="{FF2B5EF4-FFF2-40B4-BE49-F238E27FC236}">
                  <a16:creationId xmlns:a16="http://schemas.microsoft.com/office/drawing/2014/main" id="{366BDAE4-ADC6-4D13-BE9E-17813018AB6C}"/>
                </a:ext>
              </a:extLst>
            </xdr:cNvPr>
            <xdr:cNvCxnSpPr>
              <a:stCxn id="170" idx="1"/>
              <a:endCxn id="17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2" name="Straight Connector 171">
              <a:extLst>
                <a:ext uri="{FF2B5EF4-FFF2-40B4-BE49-F238E27FC236}">
                  <a16:creationId xmlns:a16="http://schemas.microsoft.com/office/drawing/2014/main" id="{DF1A2C17-CF99-4CD1-B551-0CB6D9A1BF97}"/>
                </a:ext>
              </a:extLst>
            </xdr:cNvPr>
            <xdr:cNvCxnSpPr>
              <a:stCxn id="170" idx="3"/>
              <a:endCxn id="17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7" name="Oval 116">
            <a:extLst>
              <a:ext uri="{FF2B5EF4-FFF2-40B4-BE49-F238E27FC236}">
                <a16:creationId xmlns:a16="http://schemas.microsoft.com/office/drawing/2014/main" id="{9005D581-0DA5-4BF0-BC90-4313B674FA3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A3AAC857-67F5-4F72-A95D-F426DEFE24B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99116364-31E1-47A9-8007-33087B507E9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119">
            <a:extLst>
              <a:ext uri="{FF2B5EF4-FFF2-40B4-BE49-F238E27FC236}">
                <a16:creationId xmlns:a16="http://schemas.microsoft.com/office/drawing/2014/main" id="{A764E3E9-AED5-4516-9F99-2149BDE48E13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8BF9FEB3-0543-43CA-B015-23C21558A38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D6923920-B644-4A6B-9D9F-77879313993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CF214C96-8BA6-44A7-8382-12C474E303F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C0992ED2-4DCA-4503-B31C-14A990E33A3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5CCBC0A3-78A7-46D9-BC7F-95A7C71AF88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C8C63844-A0A6-47FE-A060-9A4A29098BF5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973C8FDD-A47C-42AF-BC2A-AB24C1C7742B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68D86C06-4AE3-4FC4-A39E-45DC433A1ED8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A7878A09-21E7-455F-A3C4-61689FA4673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50">
            <a:extLst>
              <a:ext uri="{FF2B5EF4-FFF2-40B4-BE49-F238E27FC236}">
                <a16:creationId xmlns:a16="http://schemas.microsoft.com/office/drawing/2014/main" id="{760AEF30-F7BC-48FE-9C3B-95D00212EC9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5C7319C9-365B-4DD3-9D82-AF8069DCCE37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52">
            <a:extLst>
              <a:ext uri="{FF2B5EF4-FFF2-40B4-BE49-F238E27FC236}">
                <a16:creationId xmlns:a16="http://schemas.microsoft.com/office/drawing/2014/main" id="{36B651F3-9247-4184-8DCF-6C7AAA0EC193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083F9C7D-E257-432D-9D78-0072AE17CC1C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4EB9E04B-3114-40D1-86A1-827EA8166C45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BF73412-5848-4F7C-9B4F-B6A44CC0CDA4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A3AA218A-F535-4906-B9E5-8A3E41A47C53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6FA7DF33-277A-4D4B-A4F7-97E5911C47A2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C25A1855-F0F8-4780-A139-84C57532FFD6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8EF6B3E0-33A6-42AB-9BEC-D87C6BFD53C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0" name="Isosceles Triangle 139">
            <a:extLst>
              <a:ext uri="{FF2B5EF4-FFF2-40B4-BE49-F238E27FC236}">
                <a16:creationId xmlns:a16="http://schemas.microsoft.com/office/drawing/2014/main" id="{ED624AF2-8B1D-4B8A-AD03-E3C72C81E82E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1" name="Isosceles Triangle 140">
            <a:extLst>
              <a:ext uri="{FF2B5EF4-FFF2-40B4-BE49-F238E27FC236}">
                <a16:creationId xmlns:a16="http://schemas.microsoft.com/office/drawing/2014/main" id="{C0954A0D-BF14-4774-903E-2766D7A6D8F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42" name="Group 73">
            <a:extLst>
              <a:ext uri="{FF2B5EF4-FFF2-40B4-BE49-F238E27FC236}">
                <a16:creationId xmlns:a16="http://schemas.microsoft.com/office/drawing/2014/main" id="{ECEF9B85-1182-4529-BCC1-3CD78C37A224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68" name="TextBox 167">
              <a:extLst>
                <a:ext uri="{FF2B5EF4-FFF2-40B4-BE49-F238E27FC236}">
                  <a16:creationId xmlns:a16="http://schemas.microsoft.com/office/drawing/2014/main" id="{5392FA46-72A2-4BEA-B9FF-814FF42F434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69" name="Straight Connector 168">
              <a:extLst>
                <a:ext uri="{FF2B5EF4-FFF2-40B4-BE49-F238E27FC236}">
                  <a16:creationId xmlns:a16="http://schemas.microsoft.com/office/drawing/2014/main" id="{48E21424-2F35-4E2A-90BB-B8B4F22ED4B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3" name="Group 74">
            <a:extLst>
              <a:ext uri="{FF2B5EF4-FFF2-40B4-BE49-F238E27FC236}">
                <a16:creationId xmlns:a16="http://schemas.microsoft.com/office/drawing/2014/main" id="{3D89EDD0-0AF6-4928-9922-8D625732C3E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66" name="TextBox 165">
              <a:extLst>
                <a:ext uri="{FF2B5EF4-FFF2-40B4-BE49-F238E27FC236}">
                  <a16:creationId xmlns:a16="http://schemas.microsoft.com/office/drawing/2014/main" id="{F26CBC04-F2A6-49C7-AAC2-2C201820CD08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67" name="Straight Connector 166">
              <a:extLst>
                <a:ext uri="{FF2B5EF4-FFF2-40B4-BE49-F238E27FC236}">
                  <a16:creationId xmlns:a16="http://schemas.microsoft.com/office/drawing/2014/main" id="{F885CE72-59C7-4122-B5F9-FAFD49752576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4" name="Group 89">
            <a:extLst>
              <a:ext uri="{FF2B5EF4-FFF2-40B4-BE49-F238E27FC236}">
                <a16:creationId xmlns:a16="http://schemas.microsoft.com/office/drawing/2014/main" id="{E38AAC79-9736-4405-8181-8C704ACF3647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2" name="Straight Connector 161">
              <a:extLst>
                <a:ext uri="{FF2B5EF4-FFF2-40B4-BE49-F238E27FC236}">
                  <a16:creationId xmlns:a16="http://schemas.microsoft.com/office/drawing/2014/main" id="{678DC464-D584-4FD0-B9F1-449D95EADF6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9">
              <a:extLst>
                <a:ext uri="{FF2B5EF4-FFF2-40B4-BE49-F238E27FC236}">
                  <a16:creationId xmlns:a16="http://schemas.microsoft.com/office/drawing/2014/main" id="{EAA75029-01B0-4C59-AEC4-ABC347B1126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Straight Connector 80">
              <a:extLst>
                <a:ext uri="{FF2B5EF4-FFF2-40B4-BE49-F238E27FC236}">
                  <a16:creationId xmlns:a16="http://schemas.microsoft.com/office/drawing/2014/main" id="{1A0C0B8F-B7B2-430B-82D5-2899A347CB7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5" name="Straight Connector 88">
              <a:extLst>
                <a:ext uri="{FF2B5EF4-FFF2-40B4-BE49-F238E27FC236}">
                  <a16:creationId xmlns:a16="http://schemas.microsoft.com/office/drawing/2014/main" id="{A54E7F36-574B-442E-8EE3-32820BEF9CA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5" name="Group 90">
            <a:extLst>
              <a:ext uri="{FF2B5EF4-FFF2-40B4-BE49-F238E27FC236}">
                <a16:creationId xmlns:a16="http://schemas.microsoft.com/office/drawing/2014/main" id="{C6954AD4-E21C-437C-A664-B4E6DD4AE39D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8" name="Straight Connector 157">
              <a:extLst>
                <a:ext uri="{FF2B5EF4-FFF2-40B4-BE49-F238E27FC236}">
                  <a16:creationId xmlns:a16="http://schemas.microsoft.com/office/drawing/2014/main" id="{CC85C210-94CA-46BD-8F05-3089EE162BE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15BA98C1-E28B-4F3F-9D09-1739B9EC388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F08D1A48-9F90-4865-BC46-D63E24A931A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1" name="Straight Connector 160">
              <a:extLst>
                <a:ext uri="{FF2B5EF4-FFF2-40B4-BE49-F238E27FC236}">
                  <a16:creationId xmlns:a16="http://schemas.microsoft.com/office/drawing/2014/main" id="{901CED83-7B6E-40F3-B216-D244C8BC32B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D5DF06E-962C-45C8-A2F1-B3727829BAA5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56F9C520-8256-488B-9E0A-794A0100C174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Arrow Connector 147">
            <a:extLst>
              <a:ext uri="{FF2B5EF4-FFF2-40B4-BE49-F238E27FC236}">
                <a16:creationId xmlns:a16="http://schemas.microsoft.com/office/drawing/2014/main" id="{3EEBEA39-A573-4DC1-A500-6898E2865958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BC42C95F-41BB-4EF2-98B7-F04E401197AC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50" name="Group 155">
            <a:extLst>
              <a:ext uri="{FF2B5EF4-FFF2-40B4-BE49-F238E27FC236}">
                <a16:creationId xmlns:a16="http://schemas.microsoft.com/office/drawing/2014/main" id="{9EBE2CD0-BAB4-4E3F-BFF3-073F4FF5D05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55" name="Isosceles Triangle 154">
              <a:extLst>
                <a:ext uri="{FF2B5EF4-FFF2-40B4-BE49-F238E27FC236}">
                  <a16:creationId xmlns:a16="http://schemas.microsoft.com/office/drawing/2014/main" id="{2935D8E0-9E4A-4200-94AB-02EC84BE3D1E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6" name="Isosceles Triangle 155">
              <a:extLst>
                <a:ext uri="{FF2B5EF4-FFF2-40B4-BE49-F238E27FC236}">
                  <a16:creationId xmlns:a16="http://schemas.microsoft.com/office/drawing/2014/main" id="{6FAEB21E-D744-4DA5-B7BE-5860994C996E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7" name="Isosceles Triangle 156">
              <a:extLst>
                <a:ext uri="{FF2B5EF4-FFF2-40B4-BE49-F238E27FC236}">
                  <a16:creationId xmlns:a16="http://schemas.microsoft.com/office/drawing/2014/main" id="{3F72246E-1384-44BD-AC7F-7DF6E50A2FB6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51" name="Group 134">
            <a:extLst>
              <a:ext uri="{FF2B5EF4-FFF2-40B4-BE49-F238E27FC236}">
                <a16:creationId xmlns:a16="http://schemas.microsoft.com/office/drawing/2014/main" id="{DF280F17-7D47-4921-B209-EB41FDBD2F89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52" name="Isosceles Triangle 151">
              <a:extLst>
                <a:ext uri="{FF2B5EF4-FFF2-40B4-BE49-F238E27FC236}">
                  <a16:creationId xmlns:a16="http://schemas.microsoft.com/office/drawing/2014/main" id="{79405B2A-C30D-42D6-976B-26C3E834A44A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3" name="Isosceles Triangle 152">
              <a:extLst>
                <a:ext uri="{FF2B5EF4-FFF2-40B4-BE49-F238E27FC236}">
                  <a16:creationId xmlns:a16="http://schemas.microsoft.com/office/drawing/2014/main" id="{289464FB-DD80-4E56-B222-6D1105CAB30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4" name="Isosceles Triangle 153">
              <a:extLst>
                <a:ext uri="{FF2B5EF4-FFF2-40B4-BE49-F238E27FC236}">
                  <a16:creationId xmlns:a16="http://schemas.microsoft.com/office/drawing/2014/main" id="{E89B48DE-A4DC-4B12-A573-24A30FDAC707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7</xdr:col>
      <xdr:colOff>205259</xdr:colOff>
      <xdr:row>22</xdr:row>
      <xdr:rowOff>124812</xdr:rowOff>
    </xdr:from>
    <xdr:to>
      <xdr:col>16</xdr:col>
      <xdr:colOff>374431</xdr:colOff>
      <xdr:row>24</xdr:row>
      <xdr:rowOff>48943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328A9F3E-BF1B-718F-9D98-87395CDA3389}"/>
            </a:ext>
          </a:extLst>
        </xdr:cNvPr>
        <xdr:cNvSpPr/>
      </xdr:nvSpPr>
      <xdr:spPr>
        <a:xfrm>
          <a:off x="2419000" y="3488122"/>
          <a:ext cx="3598172" cy="226304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>
    <xdr:from>
      <xdr:col>10</xdr:col>
      <xdr:colOff>352702</xdr:colOff>
      <xdr:row>18</xdr:row>
      <xdr:rowOff>17178</xdr:rowOff>
    </xdr:from>
    <xdr:to>
      <xdr:col>11</xdr:col>
      <xdr:colOff>87871</xdr:colOff>
      <xdr:row>18</xdr:row>
      <xdr:rowOff>124449</xdr:rowOff>
    </xdr:to>
    <xdr:grpSp>
      <xdr:nvGrpSpPr>
        <xdr:cNvPr id="8" name="Group 682">
          <a:extLst>
            <a:ext uri="{FF2B5EF4-FFF2-40B4-BE49-F238E27FC236}">
              <a16:creationId xmlns:a16="http://schemas.microsoft.com/office/drawing/2014/main" id="{A99A46E3-7C89-4987-8FB0-E2D1DC1C53F1}"/>
            </a:ext>
          </a:extLst>
        </xdr:cNvPr>
        <xdr:cNvGrpSpPr>
          <a:grpSpLocks/>
        </xdr:cNvGrpSpPr>
      </xdr:nvGrpSpPr>
      <xdr:grpSpPr bwMode="auto">
        <a:xfrm>
          <a:off x="3709443" y="2776144"/>
          <a:ext cx="116169" cy="107271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9" name="Oval 8">
            <a:extLst>
              <a:ext uri="{FF2B5EF4-FFF2-40B4-BE49-F238E27FC236}">
                <a16:creationId xmlns:a16="http://schemas.microsoft.com/office/drawing/2014/main" id="{D568B747-C48A-0942-080D-C3FF1184710C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2E84167E-A9E9-502C-38A5-21D6F4DFA580}"/>
              </a:ext>
            </a:extLst>
          </xdr:cNvPr>
          <xdr:cNvCxnSpPr>
            <a:stCxn id="9" idx="1"/>
            <a:endCxn id="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DFF3CA9B-1C49-1D63-5ED5-23F1EC0E4185}"/>
              </a:ext>
            </a:extLst>
          </xdr:cNvPr>
          <xdr:cNvCxnSpPr>
            <a:stCxn id="9" idx="3"/>
            <a:endCxn id="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148813</xdr:colOff>
      <xdr:row>16</xdr:row>
      <xdr:rowOff>58868</xdr:rowOff>
    </xdr:from>
    <xdr:to>
      <xdr:col>14</xdr:col>
      <xdr:colOff>192774</xdr:colOff>
      <xdr:row>21</xdr:row>
      <xdr:rowOff>141483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8312FAC-97F0-4F0A-B1E1-809B6B690D1D}"/>
            </a:ext>
          </a:extLst>
        </xdr:cNvPr>
        <xdr:cNvSpPr txBox="1"/>
      </xdr:nvSpPr>
      <xdr:spPr>
        <a:xfrm>
          <a:off x="3886554" y="2515661"/>
          <a:ext cx="1186961" cy="838046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chemeClr val="tx1"/>
              </a:solidFill>
            </a:rPr>
            <a:t>KEMENAG</a:t>
          </a:r>
        </a:p>
        <a:p>
          <a:pPr algn="ctr"/>
          <a:endParaRPr lang="en-US" sz="500" b="1" u="none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216523</xdr:colOff>
      <xdr:row>16</xdr:row>
      <xdr:rowOff>96009</xdr:rowOff>
    </xdr:from>
    <xdr:to>
      <xdr:col>12</xdr:col>
      <xdr:colOff>170795</xdr:colOff>
      <xdr:row>18</xdr:row>
      <xdr:rowOff>6568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520A67AE-5A1B-46A5-881B-A922B3E009E8}"/>
            </a:ext>
          </a:extLst>
        </xdr:cNvPr>
        <xdr:cNvSpPr txBox="1"/>
      </xdr:nvSpPr>
      <xdr:spPr>
        <a:xfrm>
          <a:off x="3954264" y="2552802"/>
          <a:ext cx="335272" cy="212732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chemeClr val="tx1"/>
              </a:solidFill>
            </a:rPr>
            <a:t>BTS</a:t>
          </a:r>
          <a:r>
            <a:rPr lang="en-US" sz="500" b="1" u="none" baseline="0">
              <a:solidFill>
                <a:schemeClr val="tx1"/>
              </a:solidFill>
            </a:rPr>
            <a:t> ISAT</a:t>
          </a:r>
          <a:endParaRPr lang="en-US" sz="500" b="1" u="none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236483</xdr:colOff>
      <xdr:row>17</xdr:row>
      <xdr:rowOff>144518</xdr:rowOff>
    </xdr:from>
    <xdr:to>
      <xdr:col>11</xdr:col>
      <xdr:colOff>361704</xdr:colOff>
      <xdr:row>18</xdr:row>
      <xdr:rowOff>94491</xdr:rowOff>
    </xdr:to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FDE078F8-FB92-42C2-923D-9C044C66B583}"/>
            </a:ext>
          </a:extLst>
        </xdr:cNvPr>
        <xdr:cNvSpPr txBox="1"/>
      </xdr:nvSpPr>
      <xdr:spPr>
        <a:xfrm>
          <a:off x="3974224" y="2752397"/>
          <a:ext cx="125221" cy="101060"/>
        </a:xfrm>
        <a:prstGeom prst="rect">
          <a:avLst/>
        </a:prstGeom>
        <a:solidFill>
          <a:srgbClr val="FF00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en-US" sz="5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15036</xdr:colOff>
      <xdr:row>18</xdr:row>
      <xdr:rowOff>47165</xdr:rowOff>
    </xdr:from>
    <xdr:to>
      <xdr:col>11</xdr:col>
      <xdr:colOff>229914</xdr:colOff>
      <xdr:row>18</xdr:row>
      <xdr:rowOff>52551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D969BCDA-6B04-4866-9E0B-6E81458AF886}"/>
            </a:ext>
          </a:extLst>
        </xdr:cNvPr>
        <xdr:cNvCxnSpPr/>
      </xdr:nvCxnSpPr>
      <xdr:spPr>
        <a:xfrm flipH="1" flipV="1">
          <a:off x="3752777" y="2806131"/>
          <a:ext cx="214878" cy="5386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/>
      <sheetData sheetId="247"/>
      <sheetData sheetId="248"/>
      <sheetData sheetId="249"/>
      <sheetData sheetId="250"/>
      <sheetData sheetId="251"/>
      <sheetData sheetId="252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D2">
            <v>390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D2">
            <v>390</v>
          </cell>
        </row>
      </sheetData>
      <sheetData sheetId="55" refreshError="1"/>
      <sheetData sheetId="56" refreshError="1"/>
      <sheetData sheetId="57">
        <row r="2">
          <cell r="D2">
            <v>390</v>
          </cell>
        </row>
      </sheetData>
      <sheetData sheetId="58" refreshError="1"/>
      <sheetData sheetId="59">
        <row r="2">
          <cell r="D2">
            <v>390</v>
          </cell>
        </row>
      </sheetData>
      <sheetData sheetId="60" refreshError="1"/>
      <sheetData sheetId="61" refreshError="1"/>
      <sheetData sheetId="62">
        <row r="2">
          <cell r="D2">
            <v>390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2">
          <cell r="D12">
            <v>0.54400000000000004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6" t="s">
        <v>1134</v>
      </c>
      <c r="C4" s="516"/>
      <c r="D4" s="516"/>
      <c r="E4" s="516"/>
      <c r="F4" s="516"/>
      <c r="G4" s="516"/>
      <c r="H4" s="516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7" t="s">
        <v>0</v>
      </c>
      <c r="C7" s="517" t="s">
        <v>1</v>
      </c>
      <c r="D7" s="518" t="s">
        <v>42</v>
      </c>
      <c r="E7" s="518" t="s">
        <v>43</v>
      </c>
      <c r="F7" s="518" t="s">
        <v>1135</v>
      </c>
      <c r="G7" s="519" t="s">
        <v>41</v>
      </c>
      <c r="H7" s="515" t="s">
        <v>1042</v>
      </c>
      <c r="I7" s="515" t="s">
        <v>1137</v>
      </c>
      <c r="J7" s="515" t="s">
        <v>1026</v>
      </c>
      <c r="K7" s="509" t="s">
        <v>1024</v>
      </c>
      <c r="L7" s="510"/>
    </row>
    <row r="8" spans="1:12" ht="15" customHeight="1">
      <c r="B8" s="517"/>
      <c r="C8" s="517"/>
      <c r="D8" s="518"/>
      <c r="E8" s="518"/>
      <c r="F8" s="518"/>
      <c r="G8" s="519"/>
      <c r="H8" s="515"/>
      <c r="I8" s="515"/>
      <c r="J8" s="515"/>
      <c r="K8" s="511"/>
      <c r="L8" s="512"/>
    </row>
    <row r="9" spans="1:12" ht="15" customHeight="1">
      <c r="B9" s="517"/>
      <c r="C9" s="517"/>
      <c r="D9" s="518"/>
      <c r="E9" s="518"/>
      <c r="F9" s="518"/>
      <c r="G9" s="519"/>
      <c r="H9" s="515"/>
      <c r="I9" s="515"/>
      <c r="J9" s="515"/>
      <c r="K9" s="513"/>
      <c r="L9" s="514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 t="str">
        <f t="shared" ca="1" si="0"/>
        <v/>
      </c>
      <c r="C14" s="109" t="str">
        <f t="shared" ca="1" si="1"/>
        <v/>
      </c>
      <c r="D14" s="101" t="str">
        <f ca="1">IF(ISERROR(OFFSET('HARGA SATUAN'!$D$6,MATCH(C14,'HARGA SATUAN'!$C$7:$C$1492,0),0)),"",OFFSET('HARGA SATUAN'!$D$6,MATCH(C14,'HARGA SATUAN'!$C$7:$C$1492,0),0))</f>
        <v/>
      </c>
      <c r="E14" s="101">
        <f ca="1">IF(B14="+","Unit",IF(ISERROR(OFFSET('HARGA SATUAN'!$E$6,MATCH(C14,'HARGA SATUAN'!$C$7:$C$1492,0),0)),"",OFFSET('HARGA SATUAN'!$E$6,MATCH(C14,'HARGA SATUAN'!$C$7:$C$1492,0),0)))</f>
        <v>0</v>
      </c>
      <c r="F14" s="138" t="str">
        <f t="shared" ca="1" si="2"/>
        <v/>
      </c>
      <c r="G14" s="41">
        <f ca="1">IF(ISERROR(OFFSET('HARGA SATUAN'!$I$6,MATCH(C14,'HARGA SATUAN'!$C$7:$C$1492,0),0)),"",OFFSET('HARGA SATUAN'!$I$6,MATCH(C14,'HARGA SATUAN'!$C$7:$C$1492,0),0))</f>
        <v>0</v>
      </c>
      <c r="H14" s="136" t="str">
        <f ca="1">IF(B14="","",#REF!)</f>
        <v/>
      </c>
      <c r="I14" s="136" t="str">
        <f ca="1">IF(B14="","",#REF!)</f>
        <v/>
      </c>
      <c r="J14" s="136" t="str">
        <f ca="1">IF(B14="","",#REF!)</f>
        <v/>
      </c>
      <c r="K14" s="136" t="str">
        <f ca="1">IF(B14="","",#REF!)</f>
        <v/>
      </c>
      <c r="L14" s="136" t="str">
        <f ca="1">IF(C14="","",#REF!)</f>
        <v/>
      </c>
    </row>
    <row r="15" spans="1:12" s="137" customFormat="1">
      <c r="A15" s="112">
        <v>4</v>
      </c>
      <c r="B15" s="134" t="str">
        <f t="shared" ca="1" si="0"/>
        <v/>
      </c>
      <c r="C15" s="109" t="str">
        <f t="shared" ca="1" si="1"/>
        <v/>
      </c>
      <c r="D15" s="101" t="str">
        <f ca="1">IF(ISERROR(OFFSET('HARGA SATUAN'!$D$6,MATCH(C15,'HARGA SATUAN'!$C$7:$C$1492,0),0)),"",OFFSET('HARGA SATUAN'!$D$6,MATCH(C15,'HARGA SATUAN'!$C$7:$C$1492,0),0))</f>
        <v/>
      </c>
      <c r="E15" s="101">
        <f ca="1">IF(B15="+","Unit",IF(ISERROR(OFFSET('HARGA SATUAN'!$E$6,MATCH(C15,'HARGA SATUAN'!$C$7:$C$1492,0),0)),"",OFFSET('HARGA SATUAN'!$E$6,MATCH(C15,'HARGA SATUAN'!$C$7:$C$1492,0),0)))</f>
        <v>0</v>
      </c>
      <c r="F15" s="138" t="str">
        <f t="shared" ca="1" si="2"/>
        <v/>
      </c>
      <c r="G15" s="41">
        <f ca="1">IF(ISERROR(OFFSET('HARGA SATUAN'!$I$6,MATCH(C15,'HARGA SATUAN'!$C$7:$C$1492,0),0)),"",OFFSET('HARGA SATUAN'!$I$6,MATCH(C15,'HARGA SATUAN'!$C$7:$C$1492,0),0))</f>
        <v>0</v>
      </c>
      <c r="H15" s="136" t="str">
        <f ca="1">IF(B15="","",#REF!)</f>
        <v/>
      </c>
      <c r="I15" s="136" t="str">
        <f ca="1">IF(B15="","",#REF!)</f>
        <v/>
      </c>
      <c r="J15" s="136" t="str">
        <f ca="1">IF(B15="","",#REF!)</f>
        <v/>
      </c>
      <c r="K15" s="136" t="str">
        <f ca="1">IF(B15="","",#REF!)</f>
        <v/>
      </c>
      <c r="L15" s="136" t="str">
        <f ca="1">IF(C15="","",#REF!)</f>
        <v/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SUMIFS(RAB!$F$14:$F$39,RAB!$C$14:$C$39,C714)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SUMIFS(RAB!$F$14:$F$39,RAB!$C$14:$C$39,C715)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SUMIFS(RAB!$F$14:$F$39,RAB!$C$14:$C$39,C716)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SUMIFS(RAB!$F$14:$F$39,RAB!$C$14:$C$39,C717)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SUMIFS(RAB!$F$14:$F$39,RAB!$C$14:$C$39,C718)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SUMIFS(RAB!$F$14:$F$39,RAB!$C$14:$C$39,C719)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SUMIFS(RAB!$F$14:$F$39,RAB!$C$14:$C$39,C720)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SUMIFS(RAB!$F$14:$F$39,RAB!$C$14:$C$39,C721)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SUMIFS(RAB!$F$14:$F$39,RAB!$C$14:$C$39,C722)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SUMIFS(RAB!$F$14:$F$39,RAB!$C$14:$C$39,C723)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SUMIFS(RAB!$F$14:$F$39,RAB!$C$14:$C$39,C724)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SUMIFS(RAB!$F$14:$F$39,RAB!$C$14:$C$39,C725)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SUMIFS(RAB!$F$14:$F$39,RAB!$C$14:$C$39,C726)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SUMIFS(RAB!$F$14:$F$39,RAB!$C$14:$C$39,C727)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SUMIFS(RAB!$F$14:$F$39,RAB!$C$14:$C$39,C728)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SUMIFS(RAB!$F$14:$F$39,RAB!$C$14:$C$39,C729)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SUMIFS(RAB!$F$14:$F$39,RAB!$C$14:$C$39,C730)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SUMIFS(RAB!$F$14:$F$39,RAB!$C$14:$C$39,C731)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SUMIFS(RAB!$F$14:$F$39,RAB!$C$14:$C$39,C732)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SUMIFS(RAB!$F$14:$F$39,RAB!$C$14:$C$39,C733)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SUMIFS(RAB!$F$14:$F$39,RAB!$C$14:$C$39,C734)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SUMIFS(RAB!$F$14:$F$39,RAB!$C$14:$C$39,C735)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SUMIFS(RAB!$F$14:$F$39,RAB!$C$14:$C$39,C736)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SUMIFS(RAB!$F$14:$F$39,RAB!$C$14:$C$39,C737)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SUMIFS(RAB!$F$14:$F$39,RAB!$C$14:$C$39,C738)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SUMIFS(RAB!$F$14:$F$39,RAB!$C$14:$C$39,C739)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SUMIFS(RAB!$F$14:$F$39,RAB!$C$14:$C$39,C740)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SUMIFS(RAB!$F$14:$F$39,RAB!$C$14:$C$39,C741)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SUMIFS(RAB!$F$14:$F$39,RAB!$C$14:$C$39,C742)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SUMIFS(RAB!$F$14:$F$39,RAB!$C$14:$C$39,C743)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SUMIFS(RAB!$F$14:$F$39,RAB!$C$14:$C$39,C744)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SUMIFS(RAB!$F$14:$F$39,RAB!$C$14:$C$39,C745)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SUMIFS(RAB!$F$14:$F$39,RAB!$C$14:$C$39,C746)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SUMIFS(RAB!$F$14:$F$39,RAB!$C$14:$C$39,C747)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SUMIFS(RAB!$F$14:$F$39,RAB!$C$14:$C$39,C748)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SUMIFS(RAB!$F$14:$F$39,RAB!$C$14:$C$39,C749)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SUMIFS(RAB!$F$14:$F$39,RAB!$C$14:$C$39,C750)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SUMIFS(RAB!$F$14:$F$39,RAB!$C$14:$C$39,C751)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SUMIFS(RAB!$F$14:$F$39,RAB!$C$14:$C$39,C752)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SUMIFS(RAB!$F$14:$F$39,RAB!$C$14:$C$39,C753)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SUMIFS(RAB!$F$14:$F$39,RAB!$C$14:$C$39,C754)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SUMIFS(RAB!$F$14:$F$39,RAB!$C$14:$C$39,C755)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SUMIFS(RAB!$F$14:$F$39,RAB!$C$14:$C$39,C756)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SUMIFS(RAB!$F$14:$F$39,RAB!$C$14:$C$39,C757)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SUMIFS(RAB!$F$14:$F$39,RAB!$C$14:$C$39,C758)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SUMIFS(RAB!$F$14:$F$39,RAB!$C$14:$C$39,C759)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SUMIFS(RAB!$F$14:$F$39,RAB!$C$14:$C$39,C760)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SUMIFS(RAB!$F$14:$F$39,RAB!$C$14:$C$39,C761)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SUMIFS(RAB!$F$14:$F$39,RAB!$C$14:$C$39,C762)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SUMIFS(RAB!$F$14:$F$39,RAB!$C$14:$C$39,C763)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SUMIFS(RAB!$F$14:$F$39,RAB!$C$14:$C$39,C764)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SUMIFS(RAB!$F$14:$F$39,RAB!$C$14:$C$39,C765)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SUMIFS(RAB!$F$14:$F$39,RAB!$C$14:$C$39,C766)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SUMIFS(RAB!$F$14:$F$39,RAB!$C$14:$C$39,C767)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SUMIFS(RAB!$F$14:$F$39,RAB!$C$14:$C$39,C768)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SUMIFS(RAB!$F$14:$F$39,RAB!$C$14:$C$39,C769)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SUMIFS(RAB!$F$14:$F$39,RAB!$C$14:$C$39,C770)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SUMIFS(RAB!$F$14:$F$39,RAB!$C$14:$C$39,C771)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SUMIFS(RAB!$F$14:$F$39,RAB!$C$14:$C$39,C772)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SUMIFS(RAB!$F$14:$F$39,RAB!$C$14:$C$39,C773)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SUMIFS(RAB!$F$14:$F$39,RAB!$C$14:$C$39,C774)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SUMIFS(RAB!$F$14:$F$39,RAB!$C$14:$C$39,C775)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SUMIFS(RAB!$F$14:$F$39,RAB!$C$14:$C$39,C776)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SUMIFS(RAB!$F$14:$F$39,RAB!$C$14:$C$39,C777)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SUMIFS(RAB!$F$14:$F$39,RAB!$C$14:$C$39,C778)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SUMIFS(RAB!$F$14:$F$39,RAB!$C$14:$C$39,C779)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SUMIFS(RAB!$F$14:$F$39,RAB!$C$14:$C$39,C780)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SUMIFS(RAB!$F$14:$F$39,RAB!$C$14:$C$39,C781)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SUMIFS(RAB!$F$14:$F$39,RAB!$C$14:$C$39,C782)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SUMIFS(RAB!$F$14:$F$39,RAB!$C$14:$C$39,C783)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SUMIFS(RAB!$F$14:$F$39,RAB!$C$14:$C$39,C784)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SUMIFS(RAB!$F$14:$F$39,RAB!$C$14:$C$39,C785)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SUMIFS(RAB!$F$14:$F$39,RAB!$C$14:$C$39,C786)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SUMIFS(RAB!$F$14:$F$39,RAB!$C$14:$C$39,C787)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SUMIFS(RAB!$F$14:$F$39,RAB!$C$14:$C$39,C788)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SUMIFS(RAB!$F$14:$F$39,RAB!$C$14:$C$39,C789)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SUMIFS(RAB!$F$14:$F$39,RAB!$C$14:$C$39,C790)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SUMIFS(RAB!$F$14:$F$39,RAB!$C$14:$C$39,C791)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SUMIFS(RAB!$F$14:$F$39,RAB!$C$14:$C$39,C792)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SUMIFS(RAB!$F$14:$F$39,RAB!$C$14:$C$39,C793)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SUMIFS(RAB!$F$14:$F$39,RAB!$C$14:$C$39,C794)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SUMIFS(RAB!$F$14:$F$39,RAB!$C$14:$C$39,C795)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SUMIFS(RAB!$F$14:$F$39,RAB!$C$14:$C$39,C796)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SUMIFS(RAB!$F$14:$F$39,RAB!$C$14:$C$39,C797)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SUMIFS(RAB!$F$14:$F$39,RAB!$C$14:$C$39,C798)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SUMIFS(RAB!$F$14:$F$39,RAB!$C$14:$C$39,C799)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SUMIFS(RAB!$F$14:$F$39,RAB!$C$14:$C$39,C800)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SUMIFS(RAB!$F$14:$F$39,RAB!$C$14:$C$39,C801)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SUMIFS(RAB!$F$14:$F$39,RAB!$C$14:$C$39,C802)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SUMIFS(RAB!$F$14:$F$39,RAB!$C$14:$C$39,C803)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SUMIFS(RAB!$F$14:$F$39,RAB!$C$14:$C$39,C804)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SUMIFS(RAB!$F$14:$F$39,RAB!$C$14:$C$39,C805)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SUMIFS(RAB!$F$14:$F$39,RAB!$C$14:$C$39,C806)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SUMIFS(RAB!$F$14:$F$39,RAB!$C$14:$C$39,C807)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SUMIFS(RAB!$F$14:$F$39,RAB!$C$14:$C$39,C808)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SUMIFS(RAB!$F$14:$F$39,RAB!$C$14:$C$39,C809)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SUMIFS(RAB!$F$14:$F$39,RAB!$C$14:$C$39,C810)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SUMIFS(RAB!$F$14:$F$39,RAB!$C$14:$C$39,C811)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SUMIFS(RAB!$F$14:$F$39,RAB!$C$14:$C$39,C812)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SUMIFS(RAB!$F$14:$F$39,RAB!$C$14:$C$39,C813)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SUMIFS(RAB!$F$14:$F$39,RAB!$C$14:$C$39,C814)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SUMIFS(RAB!$F$14:$F$39,RAB!$C$14:$C$39,C815)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SUMIFS(RAB!$F$14:$F$39,RAB!$C$14:$C$39,C816)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SUMIFS(RAB!$F$14:$F$39,RAB!$C$14:$C$39,C817)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SUMIFS(RAB!$F$14:$F$39,RAB!$C$14:$C$39,C818)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SUMIFS(RAB!$F$14:$F$39,RAB!$C$14:$C$39,C819)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SUMIFS(RAB!$F$14:$F$39,RAB!$C$14:$C$39,C820)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SUMIFS(RAB!$F$14:$F$39,RAB!$C$14:$C$39,C821)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SUMIFS(RAB!$F$14:$F$39,RAB!$C$14:$C$39,C822)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SUMIFS(RAB!$F$14:$F$39,RAB!$C$14:$C$39,C823)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SUMIFS(RAB!$F$14:$F$39,RAB!$C$14:$C$39,C824)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SUMIFS(RAB!$F$14:$F$39,RAB!$C$14:$C$39,C825)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SUMIFS(RAB!$F$14:$F$39,RAB!$C$14:$C$39,C826)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SUMIFS(RAB!$F$14:$F$39,RAB!$C$14:$C$39,C827)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SUMIFS(RAB!$F$14:$F$39,RAB!$C$14:$C$39,C828)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SUMIFS(RAB!$F$14:$F$39,RAB!$C$14:$C$39,C829)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SUMIFS(RAB!$F$14:$F$39,RAB!$C$14:$C$39,C830)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SUMIFS(RAB!$F$14:$F$39,RAB!$C$14:$C$39,C831)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SUMIFS(RAB!$F$14:$F$39,RAB!$C$14:$C$39,C832)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SUMIFS(RAB!$F$14:$F$39,RAB!$C$14:$C$39,C833)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SUMIFS(RAB!$F$14:$F$39,RAB!$C$14:$C$39,C834)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SUMIFS(RAB!$F$14:$F$39,RAB!$C$14:$C$39,C835)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SUMIFS(RAB!$F$14:$F$39,RAB!$C$14:$C$39,C836)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SUMIFS(RAB!$F$14:$F$39,RAB!$C$14:$C$39,C837)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SUMIFS(RAB!$F$14:$F$39,RAB!$C$14:$C$39,C838)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SUMIFS(RAB!$F$14:$F$39,RAB!$C$14:$C$39,C839)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SUMIFS(RAB!$F$14:$F$39,RAB!$C$14:$C$39,C840)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SUMIFS(RAB!$F$14:$F$39,RAB!$C$14:$C$39,C841)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SUMIFS(RAB!$F$14:$F$39,RAB!$C$14:$C$39,C842)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SUMIFS(RAB!$F$14:$F$39,RAB!$C$14:$C$39,C843)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SUMIFS(RAB!$F$14:$F$39,RAB!$C$14:$C$39,C844)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SUMIFS(RAB!$F$14:$F$39,RAB!$C$14:$C$39,C845)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SUMIFS(RAB!$F$14:$F$39,RAB!$C$14:$C$39,C846)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SUMIFS(RAB!$F$14:$F$39,RAB!$C$14:$C$39,C847)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SUMIFS(RAB!$F$14:$F$39,RAB!$C$14:$C$39,C848)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SUMIFS(RAB!$F$14:$F$39,RAB!$C$14:$C$39,C849)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SUMIFS(RAB!$F$14:$F$39,RAB!$C$14:$C$39,C850)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SUMIFS(RAB!$F$14:$F$39,RAB!$C$14:$C$39,C851)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SUMIFS(RAB!$F$14:$F$39,RAB!$C$14:$C$39,C852)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SUMIFS(RAB!$F$14:$F$39,RAB!$C$14:$C$39,C853)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SUMIFS(RAB!$F$14:$F$39,RAB!$C$14:$C$39,C854)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SUMIFS(RAB!$F$14:$F$39,RAB!$C$14:$C$39,C855)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SUMIFS(RAB!$F$14:$F$39,RAB!$C$14:$C$39,C856)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SUMIFS(RAB!$F$14:$F$39,RAB!$C$14:$C$39,C857)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SUMIFS(RAB!$F$14:$F$39,RAB!$C$14:$C$39,C858)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SUMIFS(RAB!$F$14:$F$39,RAB!$C$14:$C$39,C859)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SUMIFS(RAB!$F$14:$F$39,RAB!$C$14:$C$39,C860)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SUMIFS(RAB!$F$14:$F$39,RAB!$C$14:$C$39,C861)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SUMIFS(RAB!$F$14:$F$39,RAB!$C$14:$C$39,C862)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SUMIFS(RAB!$F$14:$F$39,RAB!$C$14:$C$39,C863)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SUMIFS(RAB!$F$14:$F$39,RAB!$C$14:$C$39,C864)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SUMIFS(RAB!$F$14:$F$39,RAB!$C$14:$C$39,C865)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SUMIFS(RAB!$F$14:$F$39,RAB!$C$14:$C$39,C866)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SUMIFS(RAB!$F$14:$F$39,RAB!$C$14:$C$39,C867)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SUMIFS(RAB!$F$14:$F$39,RAB!$C$14:$C$39,C868)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SUMIFS(RAB!$F$14:$F$39,RAB!$C$14:$C$39,C869)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SUMIFS(RAB!$F$14:$F$39,RAB!$C$14:$C$39,C870)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SUMIFS(RAB!$F$14:$F$39,RAB!$C$14:$C$39,C871)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SUMIFS(RAB!$F$14:$F$39,RAB!$C$14:$C$39,C872)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SUMIFS(RAB!$F$14:$F$39,RAB!$C$14:$C$39,C873)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SUMIFS(RAB!$F$14:$F$39,RAB!$C$14:$C$39,C874)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SUMIFS(RAB!$F$14:$F$39,RAB!$C$14:$C$39,C875)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SUMIFS(RAB!$F$14:$F$39,RAB!$C$14:$C$39,C876)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SUMIFS(RAB!$F$14:$F$39,RAB!$C$14:$C$39,C877)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SUMIFS(RAB!$F$14:$F$39,RAB!$C$14:$C$39,C878)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SUMIFS(RAB!$F$14:$F$39,RAB!$C$14:$C$39,C879)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SUMIFS(RAB!$F$14:$F$39,RAB!$C$14:$C$39,C880)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SUMIFS(RAB!$F$14:$F$39,RAB!$C$14:$C$39,C881)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SUMIFS(RAB!$F$14:$F$39,RAB!$C$14:$C$39,C882)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SUMIFS(RAB!$F$14:$F$39,RAB!$C$14:$C$39,C883)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SUMIFS(RAB!$F$14:$F$39,RAB!$C$14:$C$39,C884)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SUMIFS(RAB!$F$14:$F$39,RAB!$C$14:$C$39,C885)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SUMIFS(RAB!$F$14:$F$39,RAB!$C$14:$C$39,C886)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SUMIFS(RAB!$F$14:$F$39,RAB!$C$14:$C$39,C887)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SUMIFS(RAB!$F$14:$F$39,RAB!$C$14:$C$39,C888)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SUMIFS(RAB!$F$14:$F$39,RAB!$C$14:$C$39,C889)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SUMIFS(RAB!$F$14:$F$39,RAB!$C$14:$C$39,C890)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SUMIFS(RAB!$F$14:$F$39,RAB!$C$14:$C$39,C891)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SUMIFS(RAB!$F$14:$F$39,RAB!$C$14:$C$39,C892)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SUMIFS(RAB!$F$14:$F$39,RAB!$C$14:$C$39,C893)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SUMIFS(RAB!$F$14:$F$39,RAB!$C$14:$C$39,C894)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SUMIFS(RAB!$F$14:$F$39,RAB!$C$14:$C$39,C895)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SUMIFS(RAB!$F$14:$F$39,RAB!$C$14:$C$39,C896)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SUMIFS(RAB!$F$14:$F$39,RAB!$C$14:$C$39,C897)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SUMIFS(RAB!$F$14:$F$39,RAB!$C$14:$C$39,C898)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SUMIFS(RAB!$F$14:$F$39,RAB!$C$14:$C$39,C899)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SUMIFS(RAB!$F$14:$F$39,RAB!$C$14:$C$39,C900)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SUMIFS(RAB!$F$14:$F$39,RAB!$C$14:$C$39,C901)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SUMIFS(RAB!$F$14:$F$39,RAB!$C$14:$C$39,C902)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SUMIFS(RAB!$F$14:$F$39,RAB!$C$14:$C$39,C903)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SUMIFS(RAB!$F$14:$F$39,RAB!$C$14:$C$39,C904)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SUMIFS(RAB!$F$14:$F$39,RAB!$C$14:$C$39,C905)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SUMIFS(RAB!$F$14:$F$39,RAB!$C$14:$C$39,C906)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SUMIFS(RAB!$F$14:$F$39,RAB!$C$14:$C$39,C907)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SUMIFS(RAB!$F$14:$F$39,RAB!$C$14:$C$39,C908)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SUMIFS(RAB!$F$14:$F$39,RAB!$C$14:$C$39,C909)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SUMIFS(RAB!$F$14:$F$39,RAB!$C$14:$C$39,C910)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SUMIFS(RAB!$F$14:$F$39,RAB!$C$14:$C$39,C911)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SUMIFS(RAB!$F$14:$F$39,RAB!$C$14:$C$39,C912)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SUMIFS(RAB!$F$14:$F$39,RAB!$C$14:$C$39,C913)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SUMIFS(RAB!$F$14:$F$39,RAB!$C$14:$C$39,C914)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SUMIFS(RAB!$F$14:$F$39,RAB!$C$14:$C$39,C915)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SUMIFS(RAB!$F$14:$F$39,RAB!$C$14:$C$39,C916)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SUMIFS(RAB!$F$14:$F$39,RAB!$C$14:$C$39,C917)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SUMIFS(RAB!$F$14:$F$39,RAB!$C$14:$C$39,C918)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SUMIFS(RAB!$F$14:$F$39,RAB!$C$14:$C$39,C919)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SUMIFS(RAB!$F$14:$F$39,RAB!$C$14:$C$39,C920)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SUMIFS(RAB!$F$14:$F$39,RAB!$C$14:$C$39,C921)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SUMIFS(RAB!$F$14:$F$39,RAB!$C$14:$C$39,C922)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SUMIFS(RAB!$F$14:$F$39,RAB!$C$14:$C$39,C923)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SUMIFS(RAB!$F$14:$F$39,RAB!$C$14:$C$39,C924)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SUMIFS(RAB!$F$14:$F$39,RAB!$C$14:$C$39,C925)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SUMIFS(RAB!$F$14:$F$39,RAB!$C$14:$C$39,C926)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SUMIFS(RAB!$F$14:$F$39,RAB!$C$14:$C$39,C927)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SUMIFS(RAB!$F$14:$F$39,RAB!$C$14:$C$39,C928)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SUMIFS(RAB!$F$14:$F$39,RAB!$C$14:$C$39,C929)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SUMIFS(RAB!$F$14:$F$39,RAB!$C$14:$C$39,C930)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SUMIFS(RAB!$F$14:$F$39,RAB!$C$14:$C$39,C931)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SUMIFS(RAB!$F$14:$F$39,RAB!$C$14:$C$39,C932)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SUMIFS(RAB!$F$14:$F$39,RAB!$C$14:$C$39,C933)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SUMIFS(RAB!$F$14:$F$39,RAB!$C$14:$C$39,C934)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SUMIFS(RAB!$F$14:$F$39,RAB!$C$14:$C$39,C935)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SUMIFS(RAB!$F$14:$F$39,RAB!$C$14:$C$39,C936)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SUMIFS(RAB!$F$14:$F$39,RAB!$C$14:$C$39,C937)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SUMIFS(RAB!$F$14:$F$39,RAB!$C$14:$C$39,C938)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SUMIFS(RAB!$F$14:$F$39,RAB!$C$14:$C$39,C939)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SUMIFS(RAB!$F$14:$F$39,RAB!$C$14:$C$39,C940)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SUMIFS(RAB!$F$14:$F$39,RAB!$C$14:$C$39,C941)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SUMIFS(RAB!$F$14:$F$39,RAB!$C$14:$C$39,C942)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SUMIFS(RAB!$F$14:$F$39,RAB!$C$14:$C$39,C943)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SUMIFS(RAB!$F$14:$F$39,RAB!$C$14:$C$39,C944)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SUMIFS(RAB!$F$14:$F$39,RAB!$C$14:$C$39,C945)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SUMIFS(RAB!$F$14:$F$39,RAB!$C$14:$C$39,C946)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SUMIFS(RAB!$F$14:$F$39,RAB!$C$14:$C$39,C947)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SUMIFS(RAB!$F$14:$F$39,RAB!$C$14:$C$39,C948)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SUMIFS(RAB!$F$14:$F$39,RAB!$C$14:$C$39,C949)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SUMIFS(RAB!$F$14:$F$39,RAB!$C$14:$C$39,C950)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SUMIFS(RAB!$F$14:$F$39,RAB!$C$14:$C$39,C951)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SUMIFS(RAB!$F$14:$F$39,RAB!$C$14:$C$39,C952)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SUMIFS(RAB!$F$14:$F$39,RAB!$C$14:$C$39,C953)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SUMIFS(RAB!$F$14:$F$39,RAB!$C$14:$C$39,C954)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SUMIFS(RAB!$F$14:$F$39,RAB!$C$14:$C$39,C955)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SUMIFS(RAB!$F$14:$F$39,RAB!$C$14:$C$39,C956)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SUMIFS(RAB!$F$14:$F$39,RAB!$C$14:$C$39,C957)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SUMIFS(RAB!$F$14:$F$39,RAB!$C$14:$C$39,C958)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SUMIFS(RAB!$F$14:$F$39,RAB!$C$14:$C$39,C959)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SUMIFS(RAB!$F$14:$F$39,RAB!$C$14:$C$39,C960)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SUMIFS(RAB!$F$14:$F$39,RAB!$C$14:$C$39,C961)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SUMIFS(RAB!$F$14:$F$39,RAB!$C$14:$C$39,C962)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SUMIFS(RAB!$F$14:$F$39,RAB!$C$14:$C$39,C963)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SUMIFS(RAB!$F$14:$F$39,RAB!$C$14:$C$39,C964)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SUMIFS(RAB!$F$14:$F$39,RAB!$C$14:$C$39,C965)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SUMIFS(RAB!$F$14:$F$39,RAB!$C$14:$C$39,C966)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SUMIFS(RAB!$F$14:$F$39,RAB!$C$14:$C$39,C967)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SUMIFS(RAB!$F$14:$F$39,RAB!$C$14:$C$39,C968)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SUMIFS(RAB!$F$14:$F$39,RAB!$C$14:$C$39,C969)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SUMIFS(RAB!$F$14:$F$39,RAB!$C$14:$C$39,C970)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SUMIFS(RAB!$F$14:$F$39,RAB!$C$14:$C$39,C971)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SUMIFS(RAB!$F$14:$F$39,RAB!$C$14:$C$39,C972)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SUMIFS(RAB!$F$14:$F$39,RAB!$C$14:$C$39,C973)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SUMIFS(RAB!$F$14:$F$39,RAB!$C$14:$C$39,C974)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SUMIFS(RAB!$F$14:$F$39,RAB!$C$14:$C$39,C975)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SUMIFS(RAB!$F$14:$F$39,RAB!$C$14:$C$39,C976)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SUMIFS(RAB!$F$14:$F$39,RAB!$C$14:$C$39,C977)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SUMIFS(RAB!$F$14:$F$39,RAB!$C$14:$C$39,C978)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SUMIFS(RAB!$F$14:$F$39,RAB!$C$14:$C$39,C979)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SUMIFS(RAB!$F$14:$F$39,RAB!$C$14:$C$39,C980)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SUMIFS(RAB!$F$14:$F$39,RAB!$C$14:$C$39,C981)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SUMIFS(RAB!$F$14:$F$39,RAB!$C$14:$C$39,C982)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SUMIFS(RAB!$F$14:$F$39,RAB!$C$14:$C$39,C983)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SUMIFS(RAB!$F$14:$F$39,RAB!$C$14:$C$39,C984)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SUMIFS(RAB!$F$14:$F$39,RAB!$C$14:$C$39,C985)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SUMIFS(RAB!$F$14:$F$39,RAB!$C$14:$C$39,C986)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SUMIFS(RAB!$F$14:$F$39,RAB!$C$14:$C$39,C987)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SUMIFS(RAB!$F$14:$F$39,RAB!$C$14:$C$39,C988)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SUMIFS(RAB!$F$14:$F$39,RAB!$C$14:$C$39,C989)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SUMIFS(RAB!$F$14:$F$39,RAB!$C$14:$C$39,C990)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SUMIFS(RAB!$F$14:$F$39,RAB!$C$14:$C$39,C991)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SUMIFS(RAB!$F$14:$F$39,RAB!$C$14:$C$39,C992)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SUMIFS(RAB!$F$14:$F$39,RAB!$C$14:$C$39,C993)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SUMIFS(RAB!$F$14:$F$39,RAB!$C$14:$C$39,C994)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SUMIFS(RAB!$F$14:$F$39,RAB!$C$14:$C$39,C995)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SUMIFS(RAB!$F$14:$F$39,RAB!$C$14:$C$39,C996)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SUMIFS(RAB!$F$14:$F$39,RAB!$C$14:$C$39,C997)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SUMIFS(RAB!$F$14:$F$39,RAB!$C$14:$C$39,C998)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SUMIFS(RAB!$F$14:$F$39,RAB!$C$14:$C$39,C999)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SUMIFS(RAB!$F$14:$F$39,RAB!$C$14:$C$39,C1000)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SUMIFS(RAB!$F$14:$F$39,RAB!$C$14:$C$39,C1001)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SUMIFS(RAB!$F$14:$F$39,RAB!$C$14:$C$39,C1002)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SUMIFS(RAB!$F$14:$F$39,RAB!$C$14:$C$39,C1003)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SUMIFS(RAB!$F$14:$F$39,RAB!$C$14:$C$39,C1004)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SUMIFS(RAB!$F$14:$F$39,RAB!$C$14:$C$39,C1005)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SUMIFS(RAB!$F$14:$F$39,RAB!$C$14:$C$39,C1006)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SUMIFS(RAB!$F$14:$F$39,RAB!$C$14:$C$39,C1007)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SUMIFS(RAB!$F$14:$F$39,RAB!$C$14:$C$39,C1008)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SUMIFS(RAB!$F$14:$F$39,RAB!$C$14:$C$39,C1009)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SUMIFS(RAB!$F$14:$F$39,RAB!$C$14:$C$39,C1010)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SUMIFS(RAB!$F$14:$F$39,RAB!$C$14:$C$39,C1011)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SUMIFS(RAB!$F$14:$F$39,RAB!$C$14:$C$39,C1012)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SUMIFS(RAB!$F$14:$F$39,RAB!$C$14:$C$39,C1013)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SUMIFS(RAB!$F$14:$F$39,RAB!$C$14:$C$39,C1014)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SUMIFS(RAB!$F$14:$F$39,RAB!$C$14:$C$39,C1015)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SUMIFS(RAB!$F$14:$F$39,RAB!$C$14:$C$39,C1016)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SUMIFS(RAB!$F$14:$F$39,RAB!$C$14:$C$39,C1017)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SUMIFS(RAB!$F$14:$F$39,RAB!$C$14:$C$39,C1018)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SUMIFS(RAB!$F$14:$F$39,RAB!$C$14:$C$39,C1019)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SUMIFS(RAB!$F$14:$F$39,RAB!$C$14:$C$39,C1020)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SUMIFS(RAB!$F$14:$F$39,RAB!$C$14:$C$39,C1021)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SUMIFS(RAB!$F$14:$F$39,RAB!$C$14:$C$39,C1022)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SUMIFS(RAB!$F$14:$F$39,RAB!$C$14:$C$39,C1023)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SUMIFS(RAB!$F$14:$F$39,RAB!$C$14:$C$39,C1024)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SUMIFS(RAB!$F$14:$F$39,RAB!$C$14:$C$39,C1025)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SUMIFS(RAB!$F$14:$F$39,RAB!$C$14:$C$39,C1026)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SUMIFS(RAB!$F$14:$F$39,RAB!$C$14:$C$39,C1027)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SUMIFS(RAB!$F$14:$F$39,RAB!$C$14:$C$39,C1028)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SUMIFS(RAB!$F$14:$F$39,RAB!$C$14:$C$39,C1029)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SUMIFS(RAB!$F$14:$F$39,RAB!$C$14:$C$39,C1030)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SUMIFS(RAB!$F$14:$F$39,RAB!$C$14:$C$39,C1031)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SUMIFS(RAB!$F$14:$F$39,RAB!$C$14:$C$39,C1032)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SUMIFS(RAB!$F$14:$F$39,RAB!$C$14:$C$39,C1033)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SUMIFS(RAB!$F$14:$F$39,RAB!$C$14:$C$39,C1034)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SUMIFS(RAB!$F$14:$F$39,RAB!$C$14:$C$39,C1035)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SUMIFS(RAB!$F$14:$F$39,RAB!$C$14:$C$39,C1036)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SUMIFS(RAB!$F$14:$F$39,RAB!$C$14:$C$39,C1037)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SUMIFS(RAB!$F$14:$F$39,RAB!$C$14:$C$39,C1038)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SUMIFS(RAB!$F$14:$F$39,RAB!$C$14:$C$39,C1039)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SUMIFS(RAB!$F$14:$F$39,RAB!$C$14:$C$39,C1040)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SUMIFS(RAB!$F$14:$F$39,RAB!$C$14:$C$39,C1041)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SUMIFS(RAB!$F$14:$F$39,RAB!$C$14:$C$39,C1042)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SUMIFS(RAB!$F$14:$F$39,RAB!$C$14:$C$39,C1043)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SUMIFS(RAB!$F$14:$F$39,RAB!$C$14:$C$39,C1044)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SUMIFS(RAB!$F$14:$F$39,RAB!$C$14:$C$39,C1045)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SUMIFS(RAB!$F$14:$F$39,RAB!$C$14:$C$39,C1046)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SUMIFS(RAB!$F$14:$F$39,RAB!$C$14:$C$39,C1047)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SUMIFS(RAB!$F$14:$F$39,RAB!$C$14:$C$39,C1048)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SUMIFS(RAB!$F$14:$F$39,RAB!$C$14:$C$39,C1049)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SUMIFS(RAB!$F$14:$F$39,RAB!$C$14:$C$39,C1050)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SUMIFS(RAB!$F$14:$F$39,RAB!$C$14:$C$39,C1051)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SUMIFS(RAB!$F$14:$F$39,RAB!$C$14:$C$39,C1052)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SUMIFS(RAB!$F$14:$F$39,RAB!$C$14:$C$39,C1053)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SUMIFS(RAB!$F$14:$F$39,RAB!$C$14:$C$39,C1054)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SUMIFS(RAB!$F$14:$F$39,RAB!$C$14:$C$39,C1055)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SUMIFS(RAB!$F$14:$F$39,RAB!$C$14:$C$39,C1056)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SUMIFS(RAB!$F$14:$F$39,RAB!$C$14:$C$39,C1057)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SUMIFS(RAB!$F$14:$F$39,RAB!$C$14:$C$39,C1058)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SUMIFS(RAB!$F$14:$F$39,RAB!$C$14:$C$39,C1059)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SUMIFS(RAB!$F$14:$F$39,RAB!$C$14:$C$39,C1060)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SUMIFS(RAB!$F$14:$F$39,RAB!$C$14:$C$39,C1061)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SUMIFS(RAB!$F$14:$F$39,RAB!$C$14:$C$39,C1062)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SUMIFS(RAB!$F$14:$F$39,RAB!$C$14:$C$39,C1063)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SUMIFS(RAB!$F$14:$F$39,RAB!$C$14:$C$39,C1064)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SUMIFS(RAB!$F$14:$F$39,RAB!$C$14:$C$39,C1065)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SUMIFS(RAB!$F$14:$F$39,RAB!$C$14:$C$39,C1066)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SUMIFS(RAB!$F$14:$F$39,RAB!$C$14:$C$39,C1067)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SUMIFS(RAB!$F$14:$F$39,RAB!$C$14:$C$39,C1068)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SUMIFS(RAB!$F$14:$F$39,RAB!$C$14:$C$39,C1069)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SUMIFS(RAB!$F$14:$F$39,RAB!$C$14:$C$39,C1070)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SUMIFS(RAB!$F$14:$F$39,RAB!$C$14:$C$39,C1071)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SUMIFS(RAB!$F$14:$F$39,RAB!$C$14:$C$39,C1072)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SUMIFS(RAB!$F$14:$F$39,RAB!$C$14:$C$39,C1073)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SUMIFS(RAB!$F$14:$F$39,RAB!$C$14:$C$39,C1074)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SUMIFS(RAB!$F$14:$F$39,RAB!$C$14:$C$39,C1075)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SUMIFS(RAB!$F$14:$F$39,RAB!$C$14:$C$39,C1076)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SUMIFS(RAB!$F$14:$F$39,RAB!$C$14:$C$39,C1077)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SUMIFS(RAB!$F$14:$F$39,RAB!$C$14:$C$39,C1078)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SUMIFS(RAB!$F$14:$F$39,RAB!$C$14:$C$39,C1079)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SUMIFS(RAB!$F$14:$F$39,RAB!$C$14:$C$39,C1080)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SUMIFS(RAB!$F$14:$F$39,RAB!$C$14:$C$39,C1081)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SUMIFS(RAB!$F$14:$F$39,RAB!$C$14:$C$39,C1082)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SUMIFS(RAB!$F$14:$F$39,RAB!$C$14:$C$39,C1083)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SUMIFS(RAB!$F$14:$F$39,RAB!$C$14:$C$39,C1084)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SUMIFS(RAB!$F$14:$F$39,RAB!$C$14:$C$39,C1085)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SUMIFS(RAB!$F$14:$F$39,RAB!$C$14:$C$39,C1086)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SUMIFS(RAB!$F$14:$F$39,RAB!$C$14:$C$39,C1087)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SUMIFS(RAB!$F$14:$F$39,RAB!$C$14:$C$39,C1088)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SUMIFS(RAB!$F$14:$F$39,RAB!$C$14:$C$39,C1089)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SUMIFS(RAB!$F$14:$F$39,RAB!$C$14:$C$39,C1090)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SUMIFS(RAB!$F$14:$F$39,RAB!$C$14:$C$39,C1091)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SUMIFS(RAB!$F$14:$F$39,RAB!$C$14:$C$39,C1092)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SUMIFS(RAB!$F$14:$F$39,RAB!$C$14:$C$39,C1093)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SUMIFS(RAB!$F$14:$F$39,RAB!$C$14:$C$39,C1094)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SUMIFS(RAB!$F$14:$F$39,RAB!$C$14:$C$39,C1095)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SUMIFS(RAB!$F$14:$F$39,RAB!$C$14:$C$39,C1096)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SUMIFS(RAB!$F$14:$F$39,RAB!$C$14:$C$39,C1097)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SUMIFS(RAB!$F$14:$F$39,RAB!$C$14:$C$39,C1098)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SUMIFS(RAB!$F$14:$F$39,RAB!$C$14:$C$39,C1099)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SUMIFS(RAB!$F$14:$F$39,RAB!$C$14:$C$39,C1100)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SUMIFS(RAB!$F$14:$F$39,RAB!$C$14:$C$39,C1101)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SUMIFS(RAB!$F$14:$F$39,RAB!$C$14:$C$39,C1102)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SUMIFS(RAB!$F$14:$F$39,RAB!$C$14:$C$39,C1103)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SUMIFS(RAB!$F$14:$F$39,RAB!$C$14:$C$39,C1104)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SUMIFS(RAB!$F$14:$F$39,RAB!$C$14:$C$39,C1105)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SUMIFS(RAB!$F$14:$F$39,RAB!$C$14:$C$39,C1106)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SUMIFS(RAB!$F$14:$F$39,RAB!$C$14:$C$39,C1107)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SUMIFS(RAB!$F$14:$F$39,RAB!$C$14:$C$39,C1108)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SUMIFS(RAB!$F$14:$F$39,RAB!$C$14:$C$39,C1109)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SUMIFS(RAB!$F$14:$F$39,RAB!$C$14:$C$39,C1110)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SUMIFS(RAB!$F$14:$F$39,RAB!$C$14:$C$39,C1111)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SUMIFS(RAB!$F$14:$F$39,RAB!$C$14:$C$39,C1112)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SUMIFS(RAB!$F$14:$F$39,RAB!$C$14:$C$39,C1113)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SUMIFS(RAB!$F$14:$F$39,RAB!$C$14:$C$39,C1114)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SUMIFS(RAB!$F$14:$F$39,RAB!$C$14:$C$39,C1115)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SUMIFS(RAB!$F$14:$F$39,RAB!$C$14:$C$39,C1116)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SUMIFS(RAB!$F$14:$F$39,RAB!$C$14:$C$39,C1117)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SUMIFS(RAB!$F$14:$F$39,RAB!$C$14:$C$39,C1118)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SUMIFS(RAB!$F$14:$F$39,RAB!$C$14:$C$39,C1119)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SUMIFS(RAB!$F$14:$F$39,RAB!$C$14:$C$39,C1120)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SUMIFS(RAB!$F$14:$F$39,RAB!$C$14:$C$39,C1121)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SUMIFS(RAB!$F$14:$F$39,RAB!$C$14:$C$39,C1122)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SUMIFS(RAB!$F$14:$F$39,RAB!$C$14:$C$39,C1123)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SUMIFS(RAB!$F$14:$F$39,RAB!$C$14:$C$39,C1124)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SUMIFS(RAB!$F$14:$F$39,RAB!$C$14:$C$39,C1125)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SUMIFS(RAB!$F$14:$F$39,RAB!$C$14:$C$39,C1126)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SUMIFS(RAB!$F$14:$F$39,RAB!$C$14:$C$39,C1127)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SUMIFS(RAB!$F$14:$F$39,RAB!$C$14:$C$39,C1128)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SUMIFS(RAB!$F$14:$F$39,RAB!$C$14:$C$39,C1129)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SUMIFS(RAB!$F$14:$F$39,RAB!$C$14:$C$39,C1130)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SUMIFS(RAB!$F$14:$F$39,RAB!$C$14:$C$39,C1131)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SUMIFS(RAB!$F$14:$F$39,RAB!$C$14:$C$39,C1132)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SUMIFS(RAB!$F$14:$F$39,RAB!$C$14:$C$39,C1133)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SUMIFS(RAB!$F$14:$F$39,RAB!$C$14:$C$39,C1134)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SUMIFS(RAB!$F$14:$F$39,RAB!$C$14:$C$39,C1135)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SUMIFS(RAB!$F$14:$F$39,RAB!$C$14:$C$39,C1136)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SUMIFS(RAB!$F$14:$F$39,RAB!$C$14:$C$39,C1137)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SUMIFS(RAB!$F$14:$F$39,RAB!$C$14:$C$39,C1138)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SUMIFS(RAB!$F$14:$F$39,RAB!$C$14:$C$39,C1139)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SUMIFS(RAB!$F$14:$F$39,RAB!$C$14:$C$39,C1140)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SUMIFS(RAB!$F$14:$F$39,RAB!$C$14:$C$39,C1141)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SUMIFS(RAB!$F$14:$F$39,RAB!$C$14:$C$39,C1142)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SUMIFS(RAB!$F$14:$F$39,RAB!$C$14:$C$39,C1143)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SUMIFS(RAB!$F$14:$F$39,RAB!$C$14:$C$39,C1144)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SUMIFS(RAB!$F$14:$F$39,RAB!$C$14:$C$39,C1145)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SUMIFS(RAB!$F$14:$F$39,RAB!$C$14:$C$39,C1146)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SUMIFS(RAB!$F$14:$F$39,RAB!$C$14:$C$39,C1147)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SUMIFS(RAB!$F$14:$F$39,RAB!$C$14:$C$39,C1148)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SUMIFS(RAB!$F$14:$F$39,RAB!$C$14:$C$39,C1149)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SUMIFS(RAB!$F$14:$F$39,RAB!$C$14:$C$39,C1150)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SUMIFS(RAB!$F$14:$F$39,RAB!$C$14:$C$39,C1151)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SUMIFS(RAB!$F$14:$F$39,RAB!$C$14:$C$39,C1152)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SUMIFS(RAB!$F$14:$F$39,RAB!$C$14:$C$39,C1153)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SUMIFS(RAB!$F$14:$F$39,RAB!$C$14:$C$39,C1154)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SUMIFS(RAB!$F$14:$F$39,RAB!$C$14:$C$39,C1155)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SUMIFS(RAB!$F$14:$F$39,RAB!$C$14:$C$39,C1156)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SUMIFS(RAB!$F$14:$F$39,RAB!$C$14:$C$39,C1157)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SUMIFS(RAB!$F$14:$F$39,RAB!$C$14:$C$39,C1158)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SUMIFS(RAB!$F$14:$F$39,RAB!$C$14:$C$39,C1159)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SUMIFS(RAB!$F$14:$F$39,RAB!$C$14:$C$39,C1160)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SUMIFS(RAB!$F$14:$F$39,RAB!$C$14:$C$39,C1161)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SUMIFS(RAB!$F$14:$F$39,RAB!$C$14:$C$39,C1162)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SUMIFS(RAB!$F$14:$F$39,RAB!$C$14:$C$39,C1163)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SUMIFS(RAB!$F$14:$F$39,RAB!$C$14:$C$39,C1164)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SUMIFS(RAB!$F$14:$F$39,RAB!$C$14:$C$39,C1165)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SUMIFS(RAB!$F$14:$F$39,RAB!$C$14:$C$39,C1166)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SUMIFS(RAB!$F$14:$F$39,RAB!$C$14:$C$39,C1167)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SUMIFS(RAB!$F$14:$F$39,RAB!$C$14:$C$39,C1168)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SUMIFS(RAB!$F$14:$F$39,RAB!$C$14:$C$39,C1169)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SUMIFS(RAB!$F$14:$F$39,RAB!$C$14:$C$39,C1170)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SUMIFS(RAB!$F$14:$F$39,RAB!$C$14:$C$39,C1171)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SUMIFS(RAB!$F$14:$F$39,RAB!$C$14:$C$39,C1172)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SUMIFS(RAB!$F$14:$F$39,RAB!$C$14:$C$39,C1173)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SUMIFS(RAB!$F$14:$F$39,RAB!$C$14:$C$39,C1174)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SUMIFS(RAB!$F$14:$F$39,RAB!$C$14:$C$39,C1175)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SUMIFS(RAB!$F$14:$F$39,RAB!$C$14:$C$39,C1176)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SUMIFS(RAB!$F$14:$F$39,RAB!$C$14:$C$39,C1177)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SUMIFS(RAB!$F$14:$F$39,RAB!$C$14:$C$39,C1178)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SUMIFS(RAB!$F$14:$F$39,RAB!$C$14:$C$39,C1179)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SUMIFS(RAB!$F$14:$F$39,RAB!$C$14:$C$39,C1180)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SUMIFS(RAB!$F$14:$F$39,RAB!$C$14:$C$39,C1181)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SUMIFS(RAB!$F$14:$F$39,RAB!$C$14:$C$39,C1182)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SUMIFS(RAB!$F$14:$F$39,RAB!$C$14:$C$39,C1183)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SUMIFS(RAB!$F$14:$F$39,RAB!$C$14:$C$39,C1184)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SUMIFS(RAB!$F$14:$F$39,RAB!$C$14:$C$39,C1185)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SUMIFS(RAB!$F$14:$F$39,RAB!$C$14:$C$39,C1186)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SUMIFS(RAB!$F$14:$F$39,RAB!$C$14:$C$39,C1187)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SUMIFS(RAB!$F$14:$F$39,RAB!$C$14:$C$39,C1188)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SUMIFS(RAB!$F$14:$F$39,RAB!$C$14:$C$39,C1189)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SUMIFS(RAB!$F$14:$F$39,RAB!$C$14:$C$39,C1190)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SUMIFS(RAB!$F$14:$F$39,RAB!$C$14:$C$39,C1191)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SUMIFS(RAB!$F$14:$F$39,RAB!$C$14:$C$39,C1192)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SUMIFS(RAB!$F$14:$F$39,RAB!$C$14:$C$39,C1193)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SUMIFS(RAB!$F$14:$F$39,RAB!$C$14:$C$39,C1194)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SUMIFS(RAB!$F$14:$F$39,RAB!$C$14:$C$39,C1195)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SUMIFS(RAB!$F$14:$F$39,RAB!$C$14:$C$39,C1196)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SUMIFS(RAB!$F$14:$F$39,RAB!$C$14:$C$39,C1197)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SUMIFS(RAB!$F$14:$F$39,RAB!$C$14:$C$39,C1198)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SUMIFS(RAB!$F$14:$F$39,RAB!$C$14:$C$39,C1199)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SUMIFS(RAB!$F$14:$F$39,RAB!$C$14:$C$39,C1200)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SUMIFS(RAB!$F$14:$F$39,RAB!$C$14:$C$39,C1201)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SUMIFS(RAB!$F$14:$F$39,RAB!$C$14:$C$39,C1202)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SUMIFS(RAB!$F$14:$F$39,RAB!$C$14:$C$39,C1203)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SUMIFS(RAB!$F$14:$F$39,RAB!$C$14:$C$39,C1204)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SUMIFS(RAB!$F$14:$F$39,RAB!$C$14:$C$39,C1205)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SUMIFS(RAB!$F$14:$F$39,RAB!$C$14:$C$39,C1206)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SUMIFS(RAB!$F$14:$F$39,RAB!$C$14:$C$39,C1207)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SUMIFS(RAB!$F$14:$F$39,RAB!$C$14:$C$39,C1208)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SUMIFS(RAB!$F$14:$F$39,RAB!$C$14:$C$39,C1209)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SUMIFS(RAB!$F$14:$F$39,RAB!$C$14:$C$39,C1210)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SUMIFS(RAB!$F$14:$F$39,RAB!$C$14:$C$39,C1211)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SUMIFS(RAB!$F$14:$F$39,RAB!$C$14:$C$39,C1212)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SUMIFS(RAB!$F$14:$F$39,RAB!$C$14:$C$39,C1213)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SUMIFS(RAB!$F$14:$F$39,RAB!$C$14:$C$39,C1214)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SUMIFS(RAB!$F$14:$F$39,RAB!$C$14:$C$39,C1215)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SUMIFS(RAB!$F$14:$F$39,RAB!$C$14:$C$39,C1216)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SUMIFS(RAB!$F$14:$F$39,RAB!$C$14:$C$39,C1217)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SUMIFS(RAB!$F$14:$F$39,RAB!$C$14:$C$39,C1218)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SUMIFS(RAB!$F$14:$F$39,RAB!$C$14:$C$39,C1219)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SUMIFS(RAB!$F$14:$F$39,RAB!$C$14:$C$39,C1220)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SUMIFS(RAB!$F$14:$F$39,RAB!$C$14:$C$39,C1221)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SUMIFS(RAB!$F$14:$F$39,RAB!$C$14:$C$39,C1222)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SUMIFS(RAB!$F$14:$F$39,RAB!$C$14:$C$39,C1223)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SUMIFS(RAB!$F$14:$F$39,RAB!$C$14:$C$39,C1224)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SUMIFS(RAB!$F$14:$F$39,RAB!$C$14:$C$39,C1225)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SUMIFS(RAB!$F$14:$F$39,RAB!$C$14:$C$39,C1226)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SUMIFS(RAB!$F$14:$F$39,RAB!$C$14:$C$39,C1227)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SUMIFS(RAB!$F$14:$F$39,RAB!$C$14:$C$39,C1228)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SUMIFS(RAB!$F$14:$F$39,RAB!$C$14:$C$39,C1229)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SUMIFS(RAB!$F$14:$F$39,RAB!$C$14:$C$39,C1230)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SUMIFS(RAB!$F$14:$F$39,RAB!$C$14:$C$39,C1231)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SUMIFS(RAB!$F$14:$F$39,RAB!$C$14:$C$39,C1232)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SUMIFS(RAB!$F$14:$F$39,RAB!$C$14:$C$39,C1233)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SUMIFS(RAB!$F$14:$F$39,RAB!$C$14:$C$39,C1234)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SUMIFS(RAB!$F$14:$F$39,RAB!$C$14:$C$39,C1235)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SUMIFS(RAB!$F$14:$F$39,RAB!$C$14:$C$39,C1236)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SUMIFS(RAB!$F$14:$F$39,RAB!$C$14:$C$39,C1237)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SUMIFS(RAB!$F$14:$F$39,RAB!$C$14:$C$39,C1238)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SUMIFS(RAB!$F$14:$F$39,RAB!$C$14:$C$39,C1239)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SUMIFS(RAB!$F$14:$F$39,RAB!$C$14:$C$39,C1240)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SUMIFS(RAB!$F$14:$F$39,RAB!$C$14:$C$39,C1241)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SUMIFS(RAB!$F$14:$F$39,RAB!$C$14:$C$39,C1242)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SUMIFS(RAB!$F$14:$F$39,RAB!$C$14:$C$39,C1243)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SUMIFS(RAB!$F$14:$F$39,RAB!$C$14:$C$39,C1244)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SUMIFS(RAB!$F$14:$F$39,RAB!$C$14:$C$39,C1245)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SUMIFS(RAB!$F$14:$F$39,RAB!$C$14:$C$39,C1246)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SUMIFS(RAB!$F$14:$F$39,RAB!$C$14:$C$39,C1247)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SUMIFS(RAB!$F$14:$F$39,RAB!$C$14:$C$39,C1248)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SUMIFS(RAB!$F$14:$F$39,RAB!$C$14:$C$39,C1249)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SUMIFS(RAB!$F$14:$F$39,RAB!$C$14:$C$39,C1250)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SUMIFS(RAB!$F$14:$F$39,RAB!$C$14:$C$39,C1251)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SUMIFS(RAB!$F$14:$F$39,RAB!$C$14:$C$39,C1252)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SUMIFS(RAB!$F$14:$F$39,RAB!$C$14:$C$39,C1253)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SUMIFS(RAB!$F$14:$F$39,RAB!$C$14:$C$39,C1254)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SUMIFS(RAB!$F$14:$F$39,RAB!$C$14:$C$39,C1255)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SUMIFS(RAB!$F$14:$F$39,RAB!$C$14:$C$39,C1256)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SUMIFS(RAB!$F$14:$F$39,RAB!$C$14:$C$39,C1257)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SUMIFS(RAB!$F$14:$F$39,RAB!$C$14:$C$39,C1258)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SUMIFS(RAB!$F$14:$F$39,RAB!$C$14:$C$39,C1259)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SUMIFS(RAB!$F$14:$F$39,RAB!$C$14:$C$39,C1260)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SUMIFS(RAB!$F$14:$F$39,RAB!$C$14:$C$39,C1261)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SUMIFS(RAB!$F$14:$F$39,RAB!$C$14:$C$39,C1262)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SUMIFS(RAB!$F$14:$F$39,RAB!$C$14:$C$39,C1263)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SUMIFS(RAB!$F$14:$F$39,RAB!$C$14:$C$39,C1264)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SUMIFS(RAB!$F$14:$F$39,RAB!$C$14:$C$39,C1265)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SUMIFS(RAB!$F$14:$F$39,RAB!$C$14:$C$39,C1266)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SUMIFS(RAB!$F$14:$F$39,RAB!$C$14:$C$39,C1267)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SUMIFS(RAB!$F$14:$F$39,RAB!$C$14:$C$39,C1268)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SUMIFS(RAB!$F$14:$F$39,RAB!$C$14:$C$39,C1269)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SUMIFS(RAB!$F$14:$F$39,RAB!$C$14:$C$39,C1270)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SUMIFS(RAB!$F$14:$F$39,RAB!$C$14:$C$39,C1271)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SUMIFS(RAB!$F$14:$F$39,RAB!$C$14:$C$39,C1272)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SUMIFS(RAB!$F$14:$F$39,RAB!$C$14:$C$39,C1273)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SUMIFS(RAB!$F$14:$F$39,RAB!$C$14:$C$39,C1274)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SUMIFS(RAB!$F$14:$F$39,RAB!$C$14:$C$39,C1275)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SUMIFS(RAB!$F$14:$F$39,RAB!$C$14:$C$39,C1276)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SUMIFS(RAB!$F$14:$F$39,RAB!$C$14:$C$39,C1277)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SUMIFS(RAB!$F$14:$F$39,RAB!$C$14:$C$39,C1278)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SUMIFS(RAB!$F$14:$F$39,RAB!$C$14:$C$39,C1279)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SUMIFS(RAB!$F$14:$F$39,RAB!$C$14:$C$39,C1280)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SUMIFS(RAB!$F$14:$F$39,RAB!$C$14:$C$39,C1281)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SUMIFS(RAB!$F$14:$F$39,RAB!$C$14:$C$39,C1282)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SUMIFS(RAB!$F$14:$F$39,RAB!$C$14:$C$39,C1283)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SUMIFS(RAB!$F$14:$F$39,RAB!$C$14:$C$39,C1284)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SUMIFS(RAB!$F$14:$F$39,RAB!$C$14:$C$39,C1285)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SUMIFS(RAB!$F$14:$F$39,RAB!$C$14:$C$39,C1286)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SUMIFS(RAB!$F$14:$F$39,RAB!$C$14:$C$39,C1287)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SUMIFS(RAB!$F$14:$F$39,RAB!$C$14:$C$39,C1288)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SUMIFS(RAB!$F$14:$F$39,RAB!$C$14:$C$39,C1289)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SUMIFS(RAB!$F$14:$F$39,RAB!$C$14:$C$39,C1290)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SUMIFS(RAB!$F$14:$F$39,RAB!$C$14:$C$39,C1291)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SUMIFS(RAB!$F$14:$F$39,RAB!$C$14:$C$39,C1292)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SUMIFS(RAB!$F$14:$F$39,RAB!$C$14:$C$39,C1293)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SUMIFS(RAB!$F$14:$F$39,RAB!$C$14:$C$39,C1294)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SUMIFS(RAB!$F$14:$F$39,RAB!$C$14:$C$39,C1295)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SUMIFS(RAB!$F$14:$F$39,RAB!$C$14:$C$39,C1296)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SUMIFS(RAB!$F$14:$F$39,RAB!$C$14:$C$39,C1297)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SUMIFS(RAB!$F$14:$F$39,RAB!$C$14:$C$39,C1298)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SUMIFS(RAB!$F$14:$F$39,RAB!$C$14:$C$39,C1299)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SUMIFS(RAB!$F$14:$F$39,RAB!$C$14:$C$39,C1300)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SUMIFS(RAB!$F$14:$F$39,RAB!$C$14:$C$39,C1301)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SUMIFS(RAB!$F$14:$F$39,RAB!$C$14:$C$39,C1302)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SUMIFS(RAB!$F$14:$F$39,RAB!$C$14:$C$39,C1303)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SUMIFS(RAB!$F$14:$F$39,RAB!$C$14:$C$39,C1304)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SUMIFS(RAB!$F$14:$F$39,RAB!$C$14:$C$39,C1305)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SUMIFS(RAB!$F$14:$F$39,RAB!$C$14:$C$39,C1306)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SUMIFS(RAB!$F$14:$F$39,RAB!$C$14:$C$39,C1307)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SUMIFS(RAB!$F$14:$F$39,RAB!$C$14:$C$39,C1308)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SUMIFS(RAB!$F$14:$F$39,RAB!$C$14:$C$39,C1309)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SUMIFS(RAB!$F$14:$F$39,RAB!$C$14:$C$39,C1310)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SUMIFS(RAB!$F$14:$F$39,RAB!$C$14:$C$39,C1311)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SUMIFS(RAB!$F$14:$F$39,RAB!$C$14:$C$39,C1312)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SUMIFS(RAB!$F$14:$F$39,RAB!$C$14:$C$39,C1313)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SUMIFS(RAB!$F$14:$F$39,RAB!$C$14:$C$39,C1314)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SUMIFS(RAB!$F$14:$F$39,RAB!$C$14:$C$39,C1315)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SUMIFS(RAB!$F$14:$F$39,RAB!$C$14:$C$39,C1316)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SUMIFS(RAB!$F$14:$F$39,RAB!$C$14:$C$39,C1317)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SUMIFS(RAB!$F$14:$F$39,RAB!$C$14:$C$39,C1318)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SUMIFS(RAB!$F$14:$F$39,RAB!$C$14:$C$39,C1319)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SUMIFS(RAB!$F$14:$F$39,RAB!$C$14:$C$39,C1320)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8" priority="5" operator="equal">
      <formula>0</formula>
    </cfRule>
  </conditionalFormatting>
  <conditionalFormatting sqref="A10:L65536">
    <cfRule type="cellIs" dxfId="47" priority="1" operator="equal">
      <formula>0</formula>
    </cfRule>
  </conditionalFormatting>
  <conditionalFormatting sqref="C12:C711">
    <cfRule type="cellIs" dxfId="46" priority="66" stopIfTrue="1" operator="equal">
      <formula>0</formula>
    </cfRule>
  </conditionalFormatting>
  <conditionalFormatting sqref="E712:E65536">
    <cfRule type="cellIs" dxfId="45" priority="16" stopIfTrue="1" operator="equal">
      <formula>0</formula>
    </cfRule>
  </conditionalFormatting>
  <conditionalFormatting sqref="G1:G11 E6:E11 E1:E3 H7 H10:H11 F10:F711 G712:G65536">
    <cfRule type="cellIs" dxfId="44" priority="69" stopIfTrue="1" operator="equal">
      <formula>0</formula>
    </cfRule>
  </conditionalFormatting>
  <conditionalFormatting sqref="G12:H711">
    <cfRule type="cellIs" dxfId="43" priority="12" stopIfTrue="1" operator="equal">
      <formula>0</formula>
    </cfRule>
  </conditionalFormatting>
  <conditionalFormatting sqref="I7:K7">
    <cfRule type="cellIs" dxfId="42" priority="4" stopIfTrue="1" operator="equal">
      <formula>0</formula>
    </cfRule>
  </conditionalFormatting>
  <conditionalFormatting sqref="I10:L711">
    <cfRule type="cellIs" dxfId="41" priority="2" stopIfTrue="1" operator="equal">
      <formula>0</formula>
    </cfRule>
  </conditionalFormatting>
  <conditionalFormatting sqref="L1:L6">
    <cfRule type="cellIs" dxfId="40" priority="10" operator="equal">
      <formula>0</formula>
    </cfRule>
  </conditionalFormatting>
  <conditionalFormatting sqref="M1:IV1048576 A8:G9">
    <cfRule type="cellIs" dxfId="39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tabSelected="1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6" t="s">
        <v>1127</v>
      </c>
      <c r="C4" s="536"/>
      <c r="D4" s="536"/>
      <c r="E4" s="536"/>
      <c r="F4" s="536"/>
      <c r="G4" s="536"/>
      <c r="H4" s="536"/>
      <c r="I4" s="536"/>
      <c r="J4" s="536"/>
      <c r="K4" s="53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9" t="str">
        <f>RAB!G6</f>
        <v>LAPANGAN TENIS KEMENAG</v>
      </c>
      <c r="H6" s="529"/>
      <c r="I6" s="529"/>
      <c r="J6" s="529"/>
      <c r="K6" s="52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GENGGONGAN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7" t="s">
        <v>0</v>
      </c>
      <c r="C11" s="539" t="s">
        <v>1</v>
      </c>
      <c r="D11" s="542" t="s">
        <v>42</v>
      </c>
      <c r="E11" s="542" t="s">
        <v>43</v>
      </c>
      <c r="F11" s="542" t="s">
        <v>2</v>
      </c>
      <c r="G11" s="543" t="s">
        <v>41</v>
      </c>
      <c r="H11" s="542" t="s">
        <v>3</v>
      </c>
      <c r="I11" s="542"/>
      <c r="J11" s="542"/>
      <c r="K11" s="546"/>
      <c r="M11" s="33"/>
      <c r="N11" s="33"/>
      <c r="O11" s="33"/>
      <c r="P11" s="33"/>
      <c r="R11" s="34"/>
      <c r="S11" s="74"/>
      <c r="T11" s="74"/>
    </row>
    <row r="12" spans="1:21" ht="15" customHeight="1">
      <c r="B12" s="538"/>
      <c r="C12" s="540"/>
      <c r="D12" s="532"/>
      <c r="E12" s="532"/>
      <c r="F12" s="532"/>
      <c r="G12" s="544"/>
      <c r="H12" s="534" t="s">
        <v>46</v>
      </c>
      <c r="I12" s="534" t="s">
        <v>5</v>
      </c>
      <c r="J12" s="532" t="s">
        <v>47</v>
      </c>
      <c r="K12" s="53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8"/>
      <c r="C13" s="541"/>
      <c r="D13" s="532"/>
      <c r="E13" s="532"/>
      <c r="F13" s="532"/>
      <c r="G13" s="545"/>
      <c r="H13" s="535"/>
      <c r="I13" s="535"/>
      <c r="J13" s="532"/>
      <c r="K13" s="53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0" t="s">
        <v>1008</v>
      </c>
      <c r="D38" s="530"/>
      <c r="E38" s="530"/>
      <c r="F38" s="530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31" t="s">
        <v>462</v>
      </c>
      <c r="D39" s="531"/>
      <c r="E39" s="531"/>
      <c r="F39" s="531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0" t="s">
        <v>463</v>
      </c>
      <c r="D40" s="520"/>
      <c r="E40" s="520"/>
      <c r="F40" s="520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23" t="e">
        <f ca="1">"Terbilang : ( "&amp;L42&amp;" Rupiah )"</f>
        <v>#NAME?</v>
      </c>
      <c r="C41" s="524"/>
      <c r="D41" s="524"/>
      <c r="E41" s="524"/>
      <c r="F41" s="524"/>
      <c r="G41" s="524"/>
      <c r="H41" s="524"/>
      <c r="I41" s="524"/>
      <c r="J41" s="524"/>
      <c r="K41" s="525"/>
      <c r="L41" s="44"/>
      <c r="R41" s="58"/>
      <c r="S41" s="58"/>
      <c r="T41" s="58"/>
    </row>
    <row r="42" spans="1:20" s="36" customFormat="1">
      <c r="A42" s="30"/>
      <c r="B42" s="526"/>
      <c r="C42" s="527"/>
      <c r="D42" s="527"/>
      <c r="E42" s="527"/>
      <c r="F42" s="527"/>
      <c r="G42" s="527"/>
      <c r="H42" s="527"/>
      <c r="I42" s="527"/>
      <c r="J42" s="527"/>
      <c r="K42" s="528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1"/>
      <c r="I45" s="521"/>
      <c r="J45" s="522"/>
      <c r="K45" s="52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1"/>
      <c r="I46" s="521"/>
      <c r="J46" s="522"/>
      <c r="K46" s="52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1"/>
      <c r="I47" s="521"/>
      <c r="J47" s="522"/>
      <c r="K47" s="52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1"/>
      <c r="I52" s="521"/>
      <c r="J52" s="522"/>
      <c r="K52" s="52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SUMIFS(RAB!$F$14:$F$39,RAB!$C$14:$C$39,'REKAP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SUMIFS(RAB!$F$14:$F$39,RAB!$C$14:$C$39,'REKAP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SUMIFS(RAB!$F$14:$F$39,RAB!$C$14:$C$39,'REKAP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SUMIFS(RAB!$F$14:$F$39,RAB!$C$14:$C$39,'REKAP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SUMIFS(RAB!$F$14:$F$39,RAB!$C$14:$C$39,'REKAP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SUMIFS(RAB!$F$14:$F$39,RAB!$C$14:$C$39,'REKAP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SUMIFS(RAB!$F$14:$F$39,RAB!$C$14:$C$39,'REKAP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SUMIFS(RAB!$F$14:$F$39,RAB!$C$14:$C$39,'REKAP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SUMIFS(RAB!$F$14:$F$39,RAB!$C$14:$C$39,'REKAP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SUMIFS(RAB!$F$14:$F$39,RAB!$C$14:$C$39,'REKAP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SUMIFS(RAB!$F$14:$F$39,RAB!$C$14:$C$39,'REKAP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SUMIFS(RAB!$F$14:$F$39,RAB!$C$14:$C$39,'REKAP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SUMIFS(RAB!$F$14:$F$39,RAB!$C$14:$C$39,'REKAP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SUMIFS(RAB!$F$14:$F$39,RAB!$C$14:$C$39,'REKAP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SUMIFS(RAB!$F$14:$F$39,RAB!$C$14:$C$39,'REKAP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SUMIFS(RAB!$F$14:$F$39,RAB!$C$14:$C$39,'REKAP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SUMIFS(RAB!$F$14:$F$39,RAB!$C$14:$C$39,'REKAP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SUMIFS(RAB!$F$14:$F$39,RAB!$C$14:$C$39,'REKAP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SUMIFS(RAB!$F$14:$F$39,RAB!$C$14:$C$39,'REKAP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SUMIFS(RAB!$F$14:$F$39,RAB!$C$14:$C$39,'REKAP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8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7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6" t="s">
        <v>1034</v>
      </c>
      <c r="C4" s="536"/>
      <c r="D4" s="536"/>
      <c r="E4" s="536"/>
      <c r="F4" s="536"/>
      <c r="G4" s="536"/>
      <c r="H4" s="536"/>
      <c r="I4" s="536"/>
      <c r="J4" s="536"/>
      <c r="K4" s="53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9" t="str">
        <f>RAB!G6</f>
        <v>LAPANGAN TENIS KEMENAG</v>
      </c>
      <c r="H6" s="529"/>
      <c r="I6" s="529"/>
      <c r="J6" s="529"/>
      <c r="K6" s="52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GENGGONGAN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7" t="s">
        <v>0</v>
      </c>
      <c r="C11" s="539" t="s">
        <v>1</v>
      </c>
      <c r="D11" s="542" t="s">
        <v>42</v>
      </c>
      <c r="E11" s="542" t="s">
        <v>43</v>
      </c>
      <c r="F11" s="542" t="s">
        <v>2</v>
      </c>
      <c r="G11" s="543" t="s">
        <v>41</v>
      </c>
      <c r="H11" s="542" t="s">
        <v>3</v>
      </c>
      <c r="I11" s="542"/>
      <c r="J11" s="542"/>
      <c r="K11" s="546"/>
      <c r="M11" s="33"/>
      <c r="N11" s="33"/>
      <c r="O11" s="33"/>
      <c r="P11" s="33"/>
      <c r="R11" s="34"/>
      <c r="S11" s="74"/>
      <c r="T11" s="74"/>
    </row>
    <row r="12" spans="1:21" ht="15" customHeight="1">
      <c r="B12" s="538"/>
      <c r="C12" s="540"/>
      <c r="D12" s="532"/>
      <c r="E12" s="532"/>
      <c r="F12" s="532"/>
      <c r="G12" s="544"/>
      <c r="H12" s="534" t="s">
        <v>46</v>
      </c>
      <c r="I12" s="534" t="s">
        <v>5</v>
      </c>
      <c r="J12" s="532" t="s">
        <v>47</v>
      </c>
      <c r="K12" s="53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8"/>
      <c r="C13" s="541"/>
      <c r="D13" s="532"/>
      <c r="E13" s="532"/>
      <c r="F13" s="532"/>
      <c r="G13" s="545"/>
      <c r="H13" s="535"/>
      <c r="I13" s="535"/>
      <c r="J13" s="532"/>
      <c r="K13" s="53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4"/>
        <v/>
      </c>
      <c r="C18" s="109" t="str">
        <f t="shared" ca="1" si="5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6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0" t="s">
        <v>1008</v>
      </c>
      <c r="D168" s="530"/>
      <c r="E168" s="530"/>
      <c r="F168" s="530"/>
      <c r="G168" s="77" t="s">
        <v>9</v>
      </c>
      <c r="H168" s="55">
        <f ca="1">SUM(H14:H167)</f>
        <v>1779750</v>
      </c>
      <c r="I168" s="55">
        <f ca="1">SUM(I14:I167)</f>
        <v>0</v>
      </c>
      <c r="J168" s="55">
        <f ca="1">SUM(J14:J167)</f>
        <v>0</v>
      </c>
      <c r="K168" s="55">
        <f ca="1">SUM(K14:K167)</f>
        <v>1779750</v>
      </c>
      <c r="L168" s="44"/>
      <c r="R168" s="99"/>
      <c r="S168" s="99"/>
      <c r="T168" s="99"/>
    </row>
    <row r="169" spans="1:20" s="36" customFormat="1">
      <c r="A169" s="30"/>
      <c r="B169" s="56"/>
      <c r="C169" s="531" t="s">
        <v>462</v>
      </c>
      <c r="D169" s="531"/>
      <c r="E169" s="531"/>
      <c r="F169" s="531"/>
      <c r="G169" s="59" t="s">
        <v>9</v>
      </c>
      <c r="H169" s="60">
        <f ca="1">H168*0.1</f>
        <v>177975</v>
      </c>
      <c r="I169" s="60">
        <f ca="1">I168*0.1</f>
        <v>0</v>
      </c>
      <c r="J169" s="60">
        <f ca="1">J168*0.1</f>
        <v>0</v>
      </c>
      <c r="K169" s="60">
        <f ca="1">K168*0.1</f>
        <v>177975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0" t="s">
        <v>463</v>
      </c>
      <c r="D170" s="520"/>
      <c r="E170" s="520"/>
      <c r="F170" s="520"/>
      <c r="G170" s="61" t="s">
        <v>9</v>
      </c>
      <c r="H170" s="78">
        <f ca="1">SUM(H168:H169)</f>
        <v>1957725</v>
      </c>
      <c r="I170" s="78">
        <f ca="1">SUM(I168:I169)</f>
        <v>0</v>
      </c>
      <c r="J170" s="61">
        <f ca="1">SUM(J168:J169)</f>
        <v>0</v>
      </c>
      <c r="K170" s="61">
        <f ca="1">SUM(K168:K169)</f>
        <v>1957725</v>
      </c>
      <c r="L170" s="44"/>
      <c r="R170" s="99"/>
      <c r="S170" s="99"/>
      <c r="T170" s="99"/>
    </row>
    <row r="171" spans="1:20" s="36" customFormat="1">
      <c r="A171" s="30"/>
      <c r="B171" s="523" t="e">
        <f ca="1">"Terbilang : ( "&amp;L172&amp;" Rupiah )"</f>
        <v>#NAME?</v>
      </c>
      <c r="C171" s="524"/>
      <c r="D171" s="524"/>
      <c r="E171" s="524"/>
      <c r="F171" s="524"/>
      <c r="G171" s="524"/>
      <c r="H171" s="524"/>
      <c r="I171" s="524"/>
      <c r="J171" s="524"/>
      <c r="K171" s="525"/>
      <c r="L171" s="44"/>
      <c r="R171" s="58"/>
      <c r="S171" s="58"/>
      <c r="T171" s="58"/>
    </row>
    <row r="172" spans="1:20" s="36" customFormat="1">
      <c r="A172" s="30"/>
      <c r="B172" s="526"/>
      <c r="C172" s="527"/>
      <c r="D172" s="527"/>
      <c r="E172" s="527"/>
      <c r="F172" s="527"/>
      <c r="G172" s="527"/>
      <c r="H172" s="527"/>
      <c r="I172" s="527"/>
      <c r="J172" s="527"/>
      <c r="K172" s="528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1"/>
      <c r="I175" s="521"/>
      <c r="J175" s="522"/>
      <c r="K175" s="52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1"/>
      <c r="I176" s="521"/>
      <c r="J176" s="522"/>
      <c r="K176" s="52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1"/>
      <c r="I177" s="521"/>
      <c r="J177" s="522"/>
      <c r="K177" s="52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1"/>
      <c r="I182" s="521"/>
      <c r="J182" s="522"/>
      <c r="K182" s="52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SUMIFS(RAB!$F$14:$F$39,RAB!$C$14:$C$39,C224)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SUMIFS(RAB!$F$14:$F$39,RAB!$C$14:$C$39,C225)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SUMIFS(RAB!$F$14:$F$39,RAB!$C$14:$C$39,C226)</f>
        <v>1</v>
      </c>
      <c r="E226" s="24">
        <f t="shared" ca="1" si="21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SUMIFS(RAB!$F$14:$F$39,RAB!$C$14:$C$39,C227)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SUMIFS(RAB!$F$14:$F$39,RAB!$C$14:$C$39,C228)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SUMIFS(RAB!$F$14:$F$39,RAB!$C$14:$C$39,C229)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SUMIFS(RAB!$F$14:$F$39,RAB!$C$14:$C$39,C230)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SUMIFS(RAB!$F$14:$F$39,RAB!$C$14:$C$39,C231)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SUMIFS(RAB!$F$14:$F$39,RAB!$C$14:$C$39,C232)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SUMIFS(RAB!$F$14:$F$39,RAB!$C$14:$C$39,C233)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SUMIFS(RAB!$F$14:$F$39,RAB!$C$14:$C$39,C234)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SUMIFS(RAB!$F$14:$F$39,RAB!$C$14:$C$39,C235)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SUMIFS(RAB!$F$14:$F$39,RAB!$C$14:$C$39,C236)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SUMIFS(RAB!$F$14:$F$39,RAB!$C$14:$C$39,C237)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SUMIFS(RAB!$F$14:$F$39,RAB!$C$14:$C$39,C238)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SUMIFS(RAB!$F$14:$F$39,RAB!$C$14:$C$39,C239)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SUMIFS(RAB!$F$14:$F$39,RAB!$C$14:$C$39,C240)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SUMIFS(RAB!$F$14:$F$39,RAB!$C$14:$C$39,C241)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SUMIFS(RAB!$F$14:$F$39,RAB!$C$14:$C$39,C242)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SUMIFS(RAB!$F$14:$F$39,RAB!$C$14:$C$39,C243)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SUMIFS(RAB!$F$14:$F$39,RAB!$C$14:$C$39,C244)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SUMIFS(RAB!$F$14:$F$39,RAB!$C$14:$C$39,C245)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SUMIFS(RAB!$F$14:$F$39,RAB!$C$14:$C$39,C246)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SUMIFS(RAB!$F$14:$F$39,RAB!$C$14:$C$39,C247)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SUMIFS(RAB!$F$14:$F$39,RAB!$C$14:$C$39,C248)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SUMIFS(RAB!$F$14:$F$39,RAB!$C$14:$C$39,C249)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SUMIFS(RAB!$F$14:$F$39,RAB!$C$14:$C$39,C250)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SUMIFS(RAB!$F$14:$F$39,RAB!$C$14:$C$39,C251)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SUMIFS(RAB!$F$14:$F$39,RAB!$C$14:$C$39,C252)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SUMIFS(RAB!$F$14:$F$39,RAB!$C$14:$C$39,C253)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SUMIFS(RAB!$F$14:$F$39,RAB!$C$14:$C$39,C254)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SUMIFS(RAB!$F$14:$F$39,RAB!$C$14:$C$39,C255)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SUMIFS(RAB!$F$14:$F$39,RAB!$C$14:$C$39,C256)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SUMIFS(RAB!$F$14:$F$39,RAB!$C$14:$C$39,C257)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SUMIFS(RAB!$F$14:$F$39,RAB!$C$14:$C$39,C258)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SUMIFS(RAB!$F$14:$F$39,RAB!$C$14:$C$39,C259)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SUMIFS(RAB!$F$14:$F$39,RAB!$C$14:$C$39,C260)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SUMIFS(RAB!$F$14:$F$39,RAB!$C$14:$C$39,C261)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SUMIFS(RAB!$F$14:$F$39,RAB!$C$14:$C$39,C262)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SUMIFS(RAB!$F$14:$F$39,RAB!$C$14:$C$39,C263)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SUMIFS(RAB!$F$14:$F$39,RAB!$C$14:$C$39,C264)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SUMIFS(RAB!$F$14:$F$39,RAB!$C$14:$C$39,C265)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SUMIFS(RAB!$F$14:$F$39,RAB!$C$14:$C$39,C266)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SUMIFS(RAB!$F$14:$F$39,RAB!$C$14:$C$39,C267)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SUMIFS(RAB!$F$14:$F$39,RAB!$C$14:$C$39,C268)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SUMIFS(RAB!$F$14:$F$39,RAB!$C$14:$C$39,C269)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SUMIFS(RAB!$F$14:$F$39,RAB!$C$14:$C$39,C270)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SUMIFS(RAB!$F$14:$F$39,RAB!$C$14:$C$39,C271)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SUMIFS(RAB!$F$14:$F$39,RAB!$C$14:$C$39,C272)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SUMIFS(RAB!$F$14:$F$39,RAB!$C$14:$C$39,C273)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SUMIFS(RAB!$F$14:$F$39,RAB!$C$14:$C$39,C274)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SUMIFS(RAB!$F$14:$F$39,RAB!$C$14:$C$39,C275)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SUMIFS(RAB!$F$14:$F$39,RAB!$C$14:$C$39,C276)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SUMIFS(RAB!$F$14:$F$39,RAB!$C$14:$C$39,C277)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SUMIFS(RAB!$F$14:$F$39,RAB!$C$14:$C$39,C278)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SUMIFS(RAB!$F$14:$F$39,RAB!$C$14:$C$39,C279)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SUMIFS(RAB!$F$14:$F$39,RAB!$C$14:$C$39,C280)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SUMIFS(RAB!$F$14:$F$39,RAB!$C$14:$C$39,C281)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SUMIFS(RAB!$F$14:$F$39,RAB!$C$14:$C$39,C282)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SUMIFS(RAB!$F$14:$F$39,RAB!$C$14:$C$39,C283)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SUMIFS(RAB!$F$14:$F$39,RAB!$C$14:$C$39,C284)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SUMIFS(RAB!$F$14:$F$39,RAB!$C$14:$C$39,C285)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SUMIFS(RAB!$F$14:$F$39,RAB!$C$14:$C$39,C286)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SUMIFS(RAB!$F$14:$F$39,RAB!$C$14:$C$39,C287)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SUMIFS(RAB!$F$14:$F$39,RAB!$C$14:$C$39,C288)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SUMIFS(RAB!$F$14:$F$39,RAB!$C$14:$C$39,C289)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SUMIFS(RAB!$F$14:$F$39,RAB!$C$14:$C$39,C290)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SUMIFS(RAB!$F$14:$F$39,RAB!$C$14:$C$39,C291)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SUMIFS(RAB!$F$14:$F$39,RAB!$C$14:$C$39,C292)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SUMIFS(RAB!$F$14:$F$39,RAB!$C$14:$C$39,C293)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SUMIFS(RAB!$F$14:$F$39,RAB!$C$14:$C$39,C294)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SUMIFS(RAB!$F$14:$F$39,RAB!$C$14:$C$39,C295)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SUMIFS(RAB!$F$14:$F$39,RAB!$C$14:$C$39,C296)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SUMIFS(RAB!$F$14:$F$39,RAB!$C$14:$C$39,C297)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SUMIFS(RAB!$F$14:$F$39,RAB!$C$14:$C$39,C298)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SUMIFS(RAB!$F$14:$F$39,RAB!$C$14:$C$39,C299)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SUMIFS(RAB!$F$14:$F$39,RAB!$C$14:$C$39,C300)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SUMIFS(RAB!$F$14:$F$39,RAB!$C$14:$C$39,C301)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SUMIFS(RAB!$F$14:$F$39,RAB!$C$14:$C$39,C302)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SUMIFS(RAB!$F$14:$F$39,RAB!$C$14:$C$39,C303)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SUMIFS(RAB!$F$14:$F$39,RAB!$C$14:$C$39,C304)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SUMIFS(RAB!$F$14:$F$39,RAB!$C$14:$C$39,C305)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SUMIFS(RAB!$F$14:$F$39,RAB!$C$14:$C$39,C306)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SUMIFS(RAB!$F$14:$F$39,RAB!$C$14:$C$39,C307)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SUMIFS(RAB!$F$14:$F$39,RAB!$C$14:$C$39,C308)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SUMIFS(RAB!$F$14:$F$39,RAB!$C$14:$C$39,C309)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SUMIFS(RAB!$F$14:$F$39,RAB!$C$14:$C$39,C310)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SUMIFS(RAB!$F$14:$F$39,RAB!$C$14:$C$39,C311)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SUMIFS(RAB!$F$14:$F$39,RAB!$C$14:$C$39,C312)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SUMIFS(RAB!$F$14:$F$39,RAB!$C$14:$C$39,C313)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SUMIFS(RAB!$F$14:$F$39,RAB!$C$14:$C$39,C314)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SUMIFS(RAB!$F$14:$F$39,RAB!$C$14:$C$39,C315)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SUMIFS(RAB!$F$14:$F$39,RAB!$C$14:$C$39,C316)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SUMIFS(RAB!$F$14:$F$39,RAB!$C$14:$C$39,C317)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SUMIFS(RAB!$F$14:$F$39,RAB!$C$14:$C$39,C318)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SUMIFS(RAB!$F$14:$F$39,RAB!$C$14:$C$39,C319)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SUMIFS(RAB!$F$14:$F$39,RAB!$C$14:$C$39,C320)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SUMIFS(RAB!$F$14:$F$39,RAB!$C$14:$C$39,C321)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SUMIFS(RAB!$F$14:$F$39,RAB!$C$14:$C$39,C322)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SUMIFS(RAB!$F$14:$F$39,RAB!$C$14:$C$39,C323)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SUMIFS(RAB!$F$14:$F$39,RAB!$C$14:$C$39,C324)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SUMIFS(RAB!$F$14:$F$39,RAB!$C$14:$C$39,C325)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SUMIFS(RAB!$F$14:$F$39,RAB!$C$14:$C$39,C326)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SUMIFS(RAB!$F$14:$F$39,RAB!$C$14:$C$39,C327)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SUMIFS(RAB!$F$14:$F$39,RAB!$C$14:$C$39,C328)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SUMIFS(RAB!$F$14:$F$39,RAB!$C$14:$C$39,C329)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SUMIFS(RAB!$F$14:$F$39,RAB!$C$14:$C$39,C330)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SUMIFS(RAB!$F$14:$F$39,RAB!$C$14:$C$39,C331)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SUMIFS(RAB!$F$14:$F$39,RAB!$C$14:$C$39,C332)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SUMIFS(RAB!$F$14:$F$39,RAB!$C$14:$C$39,C333)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SUMIFS(RAB!$F$14:$F$39,RAB!$C$14:$C$39,C334)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SUMIFS(RAB!$F$14:$F$39,RAB!$C$14:$C$39,C335)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SUMIFS(RAB!$F$14:$F$39,RAB!$C$14:$C$39,C336)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SUMIFS(RAB!$F$14:$F$39,RAB!$C$14:$C$39,C337)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SUMIFS(RAB!$F$14:$F$39,RAB!$C$14:$C$39,C338)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SUMIFS(RAB!$F$14:$F$39,RAB!$C$14:$C$39,C339)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SUMIFS(RAB!$F$14:$F$39,RAB!$C$14:$C$39,C340)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SUMIFS(RAB!$F$14:$F$39,RAB!$C$14:$C$39,C341)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SUMIFS(RAB!$F$14:$F$39,RAB!$C$14:$C$39,C342)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SUMIFS(RAB!$F$14:$F$39,RAB!$C$14:$C$39,C343)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SUMIFS(RAB!$F$14:$F$39,RAB!$C$14:$C$39,C344)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SUMIFS(RAB!$F$14:$F$39,RAB!$C$14:$C$39,C345)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SUMIFS(RAB!$F$14:$F$39,RAB!$C$14:$C$39,C346)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SUMIFS(RAB!$F$14:$F$39,RAB!$C$14:$C$39,C347)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SUMIFS(RAB!$F$14:$F$39,RAB!$C$14:$C$39,C348)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SUMIFS(RAB!$F$14:$F$39,RAB!$C$14:$C$39,C349)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SUMIFS(RAB!$F$14:$F$39,RAB!$C$14:$C$39,C350)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SUMIFS(RAB!$F$14:$F$39,RAB!$C$14:$C$39,C351)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SUMIFS(RAB!$F$14:$F$39,RAB!$C$14:$C$39,C352)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SUMIFS(RAB!$F$14:$F$39,RAB!$C$14:$C$39,C353)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SUMIFS(RAB!$F$14:$F$39,RAB!$C$14:$C$39,C354)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SUMIFS(RAB!$F$14:$F$39,RAB!$C$14:$C$39,C355)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SUMIFS(RAB!$F$14:$F$39,RAB!$C$14:$C$39,C356)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SUMIFS(RAB!$F$14:$F$39,RAB!$C$14:$C$39,C357)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SUMIFS(RAB!$F$14:$F$39,RAB!$C$14:$C$39,C358)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SUMIFS(RAB!$F$14:$F$39,RAB!$C$14:$C$39,C359)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SUMIFS(RAB!$F$14:$F$39,RAB!$C$14:$C$39,C360)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SUMIFS(RAB!$F$14:$F$39,RAB!$C$14:$C$39,C361)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SUMIFS(RAB!$F$14:$F$39,RAB!$C$14:$C$39,C362)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SUMIFS(RAB!$F$14:$F$39,RAB!$C$14:$C$39,C363)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SUMIFS(RAB!$F$14:$F$39,RAB!$C$14:$C$39,C364)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SUMIFS(RAB!$F$14:$F$39,RAB!$C$14:$C$39,C365)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SUMIFS(RAB!$F$14:$F$39,RAB!$C$14:$C$39,C366)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SUMIFS(RAB!$F$14:$F$39,RAB!$C$14:$C$39,C367)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SUMIFS(RAB!$F$14:$F$39,RAB!$C$14:$C$39,C368)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SUMIFS(RAB!$F$14:$F$39,RAB!$C$14:$C$39,C369)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SUMIFS(RAB!$F$14:$F$39,RAB!$C$14:$C$39,C370)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SUMIFS(RAB!$F$14:$F$39,RAB!$C$14:$C$39,C371)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SUMIFS(RAB!$F$14:$F$39,RAB!$C$14:$C$39,C372)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SUMIFS(RAB!$F$14:$F$39,RAB!$C$14:$C$39,C373)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6" priority="5" operator="equal">
      <formula>0</formula>
    </cfRule>
  </conditionalFormatting>
  <conditionalFormatting sqref="C16:C165">
    <cfRule type="cellIs" dxfId="35" priority="4" stopIfTrue="1" operator="equal">
      <formula>0</formula>
    </cfRule>
  </conditionalFormatting>
  <conditionalFormatting sqref="C16:E165">
    <cfRule type="cellIs" dxfId="34" priority="1" operator="equal">
      <formula>0</formula>
    </cfRule>
  </conditionalFormatting>
  <conditionalFormatting sqref="D224:F373">
    <cfRule type="cellIs" dxfId="33" priority="8" operator="equal">
      <formula>0</formula>
    </cfRule>
  </conditionalFormatting>
  <conditionalFormatting sqref="E1:E3 G1:G115 E6:E15 H12:I12 N13 F14:F15 H14:K115 E166:K166 G166:G223 E167:F167 H167:K167">
    <cfRule type="cellIs" dxfId="32" priority="43" stopIfTrue="1" operator="equal">
      <formula>0</formula>
    </cfRule>
  </conditionalFormatting>
  <conditionalFormatting sqref="E171:E65536">
    <cfRule type="cellIs" dxfId="31" priority="9" stopIfTrue="1" operator="equal">
      <formula>0</formula>
    </cfRule>
  </conditionalFormatting>
  <conditionalFormatting sqref="G224">
    <cfRule type="cellIs" dxfId="30" priority="10" operator="equal">
      <formula>0</formula>
    </cfRule>
  </conditionalFormatting>
  <conditionalFormatting sqref="G225:G65536">
    <cfRule type="cellIs" dxfId="29" priority="14" stopIfTrue="1" operator="equal">
      <formula>0</formula>
    </cfRule>
  </conditionalFormatting>
  <conditionalFormatting sqref="R14:T166 G116:K165">
    <cfRule type="cellIs" dxfId="28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8"/>
    </row>
    <row r="4" spans="4:4" ht="57" customHeight="1">
      <c r="D4" s="458">
        <v>3</v>
      </c>
    </row>
    <row r="5" spans="4:4" ht="57" customHeight="1">
      <c r="D5" s="458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905" activePane="bottomRight" state="frozen"/>
      <selection activeCell="D209" sqref="D209"/>
      <selection pane="topRight" activeCell="D209" sqref="D209"/>
      <selection pane="bottomLeft" activeCell="D209" sqref="D209"/>
      <selection pane="bottomRight" activeCell="C923" sqref="C923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8" t="s">
        <v>41</v>
      </c>
      <c r="C2" s="548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9" t="s">
        <v>23</v>
      </c>
      <c r="C4" s="550" t="s">
        <v>1012</v>
      </c>
      <c r="D4" s="550" t="s">
        <v>42</v>
      </c>
      <c r="E4" s="549" t="s">
        <v>43</v>
      </c>
      <c r="F4" s="108" t="s">
        <v>1604</v>
      </c>
      <c r="G4" s="108" t="s">
        <v>1603</v>
      </c>
      <c r="H4" s="547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9"/>
      <c r="C5" s="550"/>
      <c r="D5" s="550"/>
      <c r="E5" s="549"/>
      <c r="F5" s="93"/>
      <c r="G5" s="93"/>
      <c r="H5" s="547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5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5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6">
        <v>2740</v>
      </c>
      <c r="G1433" s="486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7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7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7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7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7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7" priority="138" operator="equal">
      <formula>0</formula>
    </cfRule>
  </conditionalFormatting>
  <conditionalFormatting sqref="B8:C135">
    <cfRule type="cellIs" dxfId="26" priority="51" operator="equal">
      <formula>0</formula>
    </cfRule>
  </conditionalFormatting>
  <conditionalFormatting sqref="B150:G1493">
    <cfRule type="cellIs" dxfId="25" priority="1" operator="equal">
      <formula>0</formula>
    </cfRule>
  </conditionalFormatting>
  <conditionalFormatting sqref="C143:G149">
    <cfRule type="cellIs" dxfId="24" priority="5" operator="equal">
      <formula>0</formula>
    </cfRule>
  </conditionalFormatting>
  <conditionalFormatting sqref="D9:G142">
    <cfRule type="cellIs" dxfId="23" priority="11" operator="equal">
      <formula>0</formula>
    </cfRule>
  </conditionalFormatting>
  <conditionalFormatting sqref="D1:IV5 A1:C7 D6:K6 H1455:IV1457 H1458:XFD1485 H1486:H1493 I1486:XFD1494 A1494:H1494 A1495:XFD65536">
    <cfRule type="cellIs" dxfId="22" priority="163" operator="equal">
      <formula>0</formula>
    </cfRule>
  </conditionalFormatting>
  <conditionalFormatting sqref="D7:IV8 C136:C142 B136:B149">
    <cfRule type="cellIs" dxfId="21" priority="62" operator="equal">
      <formula>0</formula>
    </cfRule>
  </conditionalFormatting>
  <conditionalFormatting sqref="H9:H1418">
    <cfRule type="cellIs" dxfId="20" priority="129" operator="equal">
      <formula>0</formula>
    </cfRule>
  </conditionalFormatting>
  <conditionalFormatting sqref="H1419:I1454">
    <cfRule type="cellIs" dxfId="19" priority="128" operator="equal">
      <formula>0</formula>
    </cfRule>
  </conditionalFormatting>
  <conditionalFormatting sqref="I108:I1418">
    <cfRule type="cellIs" dxfId="18" priority="125" operator="equal">
      <formula>0</formula>
    </cfRule>
  </conditionalFormatting>
  <conditionalFormatting sqref="J108:IV1454">
    <cfRule type="cellIs" dxfId="17" priority="139" operator="equal">
      <formula>0</formula>
    </cfRule>
  </conditionalFormatting>
  <conditionalFormatting sqref="M6:IV6">
    <cfRule type="cellIs" dxfId="16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15" sqref="N1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55" t="s">
        <v>1454</v>
      </c>
      <c r="C2" s="555"/>
      <c r="D2" s="555"/>
      <c r="E2" s="555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0" t="s">
        <v>1532</v>
      </c>
      <c r="C4" s="561"/>
      <c r="D4" s="561"/>
      <c r="E4" s="562"/>
      <c r="F4" s="440"/>
      <c r="G4" s="440"/>
      <c r="H4" s="441"/>
      <c r="I4" s="587" t="s">
        <v>1533</v>
      </c>
      <c r="J4" s="588"/>
      <c r="K4" s="588"/>
      <c r="L4" s="589"/>
    </row>
    <row r="5" spans="1:12" ht="34.5" customHeight="1">
      <c r="A5" s="204"/>
      <c r="B5" s="443" t="s">
        <v>1379</v>
      </c>
      <c r="C5" s="277" t="s">
        <v>9</v>
      </c>
      <c r="D5" s="556" t="str">
        <f>DATA!D14</f>
        <v>LAPANGAN TENIS KEMENAG</v>
      </c>
      <c r="E5" s="557"/>
      <c r="F5" s="208"/>
      <c r="G5" s="208"/>
      <c r="I5" s="444" t="s">
        <v>1379</v>
      </c>
      <c r="J5" s="277" t="s">
        <v>9</v>
      </c>
      <c r="K5" s="590" t="str">
        <f>D5</f>
        <v>LAPANGAN TENIS KEMENAG</v>
      </c>
      <c r="L5" s="591"/>
    </row>
    <row r="6" spans="1:12" ht="31.5" customHeight="1">
      <c r="A6" s="204"/>
      <c r="B6" s="443" t="s">
        <v>1529</v>
      </c>
      <c r="C6" s="277" t="s">
        <v>9</v>
      </c>
      <c r="D6" s="565">
        <f>DATA!D17*1000</f>
        <v>5500</v>
      </c>
      <c r="E6" s="566"/>
      <c r="F6" s="208"/>
      <c r="G6" s="208"/>
      <c r="I6" s="444" t="s">
        <v>1530</v>
      </c>
      <c r="J6" s="277" t="s">
        <v>9</v>
      </c>
      <c r="K6" s="592">
        <f>DATA!D20*1000</f>
        <v>11000</v>
      </c>
      <c r="L6" s="593"/>
    </row>
    <row r="7" spans="1:12" ht="30.75" customHeight="1">
      <c r="A7" s="204"/>
      <c r="B7" s="443" t="s">
        <v>1441</v>
      </c>
      <c r="C7" s="277" t="s">
        <v>9</v>
      </c>
      <c r="D7" s="563">
        <f>DATA!D18</f>
        <v>1</v>
      </c>
      <c r="E7" s="564"/>
      <c r="F7" s="442" t="s">
        <v>1453</v>
      </c>
      <c r="I7" s="444" t="s">
        <v>1441</v>
      </c>
      <c r="J7" s="277" t="s">
        <v>9</v>
      </c>
      <c r="K7" s="594">
        <f>DATA!D21</f>
        <v>1</v>
      </c>
      <c r="L7" s="595"/>
    </row>
    <row r="8" spans="1:12" ht="51" customHeight="1">
      <c r="A8" s="204"/>
      <c r="B8" s="443" t="s">
        <v>1442</v>
      </c>
      <c r="C8" s="277" t="s">
        <v>9</v>
      </c>
      <c r="D8" s="563">
        <f>DATA!D19</f>
        <v>220</v>
      </c>
      <c r="E8" s="564"/>
      <c r="F8" s="442" t="s">
        <v>1453</v>
      </c>
      <c r="G8" s="437">
        <v>220</v>
      </c>
      <c r="I8" s="444" t="s">
        <v>1442</v>
      </c>
      <c r="J8" s="277" t="s">
        <v>9</v>
      </c>
      <c r="K8" s="594">
        <f>DATA!D22</f>
        <v>220</v>
      </c>
      <c r="L8" s="595"/>
    </row>
    <row r="9" spans="1:12" ht="30" customHeight="1" thickBot="1">
      <c r="A9" s="204"/>
      <c r="B9" s="449" t="s">
        <v>1541</v>
      </c>
      <c r="C9" s="439" t="s">
        <v>9</v>
      </c>
      <c r="D9" s="558">
        <f>IF(D7=1,D6/(380/3^0.5),(D6/(380*3^0.5)))</f>
        <v>25.069156425339013</v>
      </c>
      <c r="E9" s="559"/>
      <c r="F9" s="207"/>
      <c r="G9" s="438">
        <v>380</v>
      </c>
      <c r="I9" s="450" t="s">
        <v>1541</v>
      </c>
      <c r="J9" s="439" t="s">
        <v>9</v>
      </c>
      <c r="K9" s="596">
        <f>IF(K7=1,K6/(380/3^0.5),(K6/(380*3^0.5)))</f>
        <v>50.138312850678027</v>
      </c>
      <c r="L9" s="597"/>
    </row>
    <row r="10" spans="1:12" ht="24.75" customHeight="1">
      <c r="B10" s="451"/>
      <c r="C10" s="448"/>
      <c r="D10" s="452"/>
      <c r="E10" s="452"/>
      <c r="F10" s="207"/>
      <c r="G10" s="438"/>
      <c r="I10" s="451"/>
      <c r="J10" s="448"/>
      <c r="K10" s="452"/>
      <c r="L10" s="452"/>
    </row>
    <row r="11" spans="1:12" ht="16.5" thickBot="1">
      <c r="B11" s="445" t="s">
        <v>1542</v>
      </c>
      <c r="I11" s="445" t="s">
        <v>1536</v>
      </c>
    </row>
    <row r="12" spans="1:12" ht="34.5" customHeight="1">
      <c r="A12" s="204"/>
      <c r="B12" s="473" t="s">
        <v>1534</v>
      </c>
      <c r="C12" s="467" t="s">
        <v>9</v>
      </c>
      <c r="D12" s="567"/>
      <c r="E12" s="568"/>
      <c r="F12" s="208"/>
      <c r="G12" s="208"/>
      <c r="I12" s="466" t="s">
        <v>1534</v>
      </c>
      <c r="J12" s="467" t="s">
        <v>9</v>
      </c>
      <c r="K12" s="567"/>
      <c r="L12" s="568"/>
    </row>
    <row r="13" spans="1:12" ht="31.5" customHeight="1">
      <c r="A13" s="204"/>
      <c r="B13" s="474" t="s">
        <v>1380</v>
      </c>
      <c r="C13" s="454" t="s">
        <v>9</v>
      </c>
      <c r="D13" s="571"/>
      <c r="E13" s="572"/>
      <c r="F13" s="208"/>
      <c r="G13" s="208"/>
      <c r="I13" s="468" t="s">
        <v>1380</v>
      </c>
      <c r="J13" s="454" t="s">
        <v>9</v>
      </c>
      <c r="K13" s="571"/>
      <c r="L13" s="572"/>
    </row>
    <row r="14" spans="1:12" ht="30.75" customHeight="1">
      <c r="A14" s="204"/>
      <c r="B14" s="474" t="s">
        <v>1535</v>
      </c>
      <c r="C14" s="454" t="s">
        <v>9</v>
      </c>
      <c r="D14" s="579">
        <v>50</v>
      </c>
      <c r="E14" s="580"/>
      <c r="F14" s="442" t="s">
        <v>1453</v>
      </c>
      <c r="G14" s="446">
        <v>50</v>
      </c>
      <c r="I14" s="468" t="s">
        <v>1535</v>
      </c>
      <c r="J14" s="454" t="s">
        <v>9</v>
      </c>
      <c r="K14" s="581">
        <v>50</v>
      </c>
      <c r="L14" s="582"/>
    </row>
    <row r="15" spans="1:12" ht="57" customHeight="1">
      <c r="A15" s="204"/>
      <c r="B15" s="474" t="s">
        <v>1441</v>
      </c>
      <c r="C15" s="454" t="s">
        <v>9</v>
      </c>
      <c r="D15" s="460">
        <v>3</v>
      </c>
      <c r="E15" s="469"/>
      <c r="F15" s="442" t="s">
        <v>1453</v>
      </c>
      <c r="G15" s="446">
        <v>100</v>
      </c>
      <c r="I15" s="468" t="s">
        <v>1441</v>
      </c>
      <c r="J15" s="454" t="s">
        <v>9</v>
      </c>
      <c r="K15" s="460">
        <v>3</v>
      </c>
      <c r="L15" s="469"/>
    </row>
    <row r="16" spans="1:12" ht="44.25" customHeight="1">
      <c r="A16" s="204"/>
      <c r="B16" s="474" t="s">
        <v>1545</v>
      </c>
      <c r="C16" s="454"/>
      <c r="D16" s="583">
        <f>63+10</f>
        <v>73</v>
      </c>
      <c r="E16" s="584"/>
      <c r="F16" s="442"/>
      <c r="G16" s="446">
        <v>160</v>
      </c>
      <c r="I16" s="468" t="s">
        <v>1537</v>
      </c>
      <c r="J16" s="454" t="s">
        <v>9</v>
      </c>
      <c r="K16" s="585">
        <f>K9</f>
        <v>50.138312850678027</v>
      </c>
      <c r="L16" s="586"/>
    </row>
    <row r="17" spans="1:12" ht="34.5" customHeight="1">
      <c r="A17" s="204"/>
      <c r="B17" s="474" t="s">
        <v>1538</v>
      </c>
      <c r="C17" s="454" t="s">
        <v>9</v>
      </c>
      <c r="D17" s="573">
        <f>IF(D15=1,D14/(20/3^0.5),(D14/(20*3^0.5)))</f>
        <v>1.4433756729740645</v>
      </c>
      <c r="E17" s="574"/>
      <c r="F17" s="442" t="s">
        <v>1453</v>
      </c>
      <c r="G17" s="447">
        <v>200</v>
      </c>
      <c r="I17" s="468" t="s">
        <v>1538</v>
      </c>
      <c r="J17" s="454" t="s">
        <v>9</v>
      </c>
      <c r="K17" s="577">
        <f>IF(K15=1,K14/(20/3^0.5),(K14/(20*3^0.5)))</f>
        <v>1.4433756729740645</v>
      </c>
      <c r="L17" s="578"/>
    </row>
    <row r="18" spans="1:12" ht="34.5" customHeight="1">
      <c r="A18" s="204"/>
      <c r="B18" s="474" t="s">
        <v>1539</v>
      </c>
      <c r="C18" s="454" t="s">
        <v>9</v>
      </c>
      <c r="D18" s="573">
        <f>IF(D15=1,D14/(380/3^0.5),(D14/(380*3^0.5)))*1000</f>
        <v>75.96714068284551</v>
      </c>
      <c r="E18" s="574"/>
      <c r="F18" s="442" t="s">
        <v>1453</v>
      </c>
      <c r="G18" s="447">
        <v>250</v>
      </c>
      <c r="I18" s="468" t="s">
        <v>1539</v>
      </c>
      <c r="J18" s="454" t="s">
        <v>9</v>
      </c>
      <c r="K18" s="577">
        <f>IF(K15=1,K14/(380/3^0.5),(K14/(380*3^0.5)))*1000</f>
        <v>75.96714068284551</v>
      </c>
      <c r="L18" s="578"/>
    </row>
    <row r="19" spans="1:12" ht="30" customHeight="1">
      <c r="A19" s="204"/>
      <c r="B19" s="475" t="s">
        <v>1531</v>
      </c>
      <c r="C19" s="453" t="s">
        <v>9</v>
      </c>
      <c r="D19" s="573">
        <f>IF(D15=1,D14/(380/3^0.5),(D14/(380*3^0.5)))</f>
        <v>7.5967140682845505E-2</v>
      </c>
      <c r="E19" s="574"/>
      <c r="F19" s="207"/>
      <c r="G19" s="438"/>
      <c r="I19" s="470" t="s">
        <v>1531</v>
      </c>
      <c r="J19" s="453" t="s">
        <v>9</v>
      </c>
      <c r="K19" s="577">
        <f>IF(K15=1,K14/(380/3^0.5),(K14/(380*3^0.5)))</f>
        <v>7.5967140682845505E-2</v>
      </c>
      <c r="L19" s="578"/>
    </row>
    <row r="20" spans="1:12" ht="30" customHeight="1" thickBot="1">
      <c r="A20" s="204"/>
      <c r="B20" s="476" t="s">
        <v>1540</v>
      </c>
      <c r="C20" s="472" t="s">
        <v>9</v>
      </c>
      <c r="D20" s="569">
        <f>D16/D18</f>
        <v>0.96094178803921293</v>
      </c>
      <c r="E20" s="570"/>
      <c r="F20" s="207"/>
      <c r="G20" s="438"/>
      <c r="I20" s="471" t="s">
        <v>1531</v>
      </c>
      <c r="J20" s="472" t="s">
        <v>9</v>
      </c>
      <c r="K20" s="575">
        <f>K16/K18</f>
        <v>0.65999999999999992</v>
      </c>
      <c r="L20" s="576"/>
    </row>
    <row r="21" spans="1:12" ht="9.75" customHeight="1">
      <c r="A21" s="204"/>
      <c r="B21" s="461" t="s">
        <v>1540</v>
      </c>
      <c r="C21" s="462" t="s">
        <v>9</v>
      </c>
      <c r="D21" s="554">
        <v>1</v>
      </c>
      <c r="E21" s="554"/>
      <c r="F21" s="463"/>
      <c r="G21" s="464"/>
      <c r="H21" s="465"/>
      <c r="I21" s="461" t="s">
        <v>1531</v>
      </c>
      <c r="J21" s="462" t="s">
        <v>9</v>
      </c>
      <c r="K21" s="554">
        <v>1</v>
      </c>
      <c r="L21" s="554"/>
    </row>
    <row r="22" spans="1:12" ht="6.75" customHeight="1">
      <c r="B22" s="451"/>
      <c r="C22" s="448"/>
      <c r="D22" s="459"/>
      <c r="E22" s="459"/>
      <c r="F22" s="207"/>
      <c r="G22" s="438"/>
      <c r="J22" s="448"/>
      <c r="K22" s="459"/>
      <c r="L22" s="459"/>
    </row>
    <row r="23" spans="1:12" ht="15.75" thickBot="1"/>
    <row r="24" spans="1:12" ht="200.25" customHeight="1" thickBot="1">
      <c r="B24" s="551"/>
      <c r="C24" s="552"/>
      <c r="D24" s="552"/>
      <c r="E24" s="553"/>
      <c r="I24" s="551"/>
      <c r="J24" s="552"/>
      <c r="K24" s="552"/>
      <c r="L24" s="553"/>
    </row>
    <row r="26" spans="1:12">
      <c r="D26" s="456"/>
    </row>
    <row r="27" spans="1:12">
      <c r="D27" s="457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5" priority="5" stopIfTrue="1" operator="greaterThan">
      <formula>0.89</formula>
    </cfRule>
    <cfRule type="cellIs" dxfId="1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5" zoomScaleNormal="100" workbookViewId="0">
      <selection activeCell="U13" sqref="U13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598"/>
      <c r="C1" s="598"/>
      <c r="D1" s="598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9">
        <v>1084.1250458865841</v>
      </c>
      <c r="F5" s="484" t="s">
        <v>1605</v>
      </c>
      <c r="K5" s="483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4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5.5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5329500</v>
      </c>
    </row>
    <row r="10" spans="2:11" ht="20.100000000000001" customHeight="1">
      <c r="B10" s="291" t="s">
        <v>1446</v>
      </c>
      <c r="C10" s="292" t="s">
        <v>9</v>
      </c>
      <c r="D10" s="298">
        <f ca="1">RAB!K45</f>
        <v>651152.64000000001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13023.052800000001</v>
      </c>
    </row>
    <row r="12" spans="2:11" ht="9" customHeight="1">
      <c r="B12" s="599"/>
      <c r="C12" s="599"/>
      <c r="D12" s="599"/>
    </row>
    <row r="13" spans="2:11" ht="15.75" customHeight="1">
      <c r="B13" s="299"/>
      <c r="C13" s="299"/>
      <c r="D13" s="299"/>
    </row>
    <row r="14" spans="2:11" ht="33.75" customHeight="1">
      <c r="B14" s="413" t="s">
        <v>1379</v>
      </c>
      <c r="C14" s="414" t="s">
        <v>9</v>
      </c>
      <c r="D14" s="419" t="s">
        <v>1618</v>
      </c>
      <c r="E14" s="300" t="s">
        <v>1453</v>
      </c>
    </row>
    <row r="15" spans="2:11" ht="20.100000000000001" customHeight="1">
      <c r="B15" s="415" t="s">
        <v>1447</v>
      </c>
      <c r="C15" s="416" t="s">
        <v>9</v>
      </c>
      <c r="D15" s="420" t="s">
        <v>1613</v>
      </c>
      <c r="E15" s="300" t="s">
        <v>1453</v>
      </c>
    </row>
    <row r="16" spans="2:11" ht="20.100000000000001" customHeight="1">
      <c r="B16" s="415" t="s">
        <v>1448</v>
      </c>
      <c r="C16" s="416" t="s">
        <v>9</v>
      </c>
      <c r="D16" s="420" t="s">
        <v>1451</v>
      </c>
      <c r="E16" s="300" t="s">
        <v>1453</v>
      </c>
    </row>
    <row r="17" spans="2:5" ht="20.100000000000001" customHeight="1">
      <c r="B17" s="415" t="s">
        <v>1449</v>
      </c>
      <c r="C17" s="416" t="s">
        <v>9</v>
      </c>
      <c r="D17" s="421">
        <v>5.5</v>
      </c>
      <c r="E17" s="300" t="s">
        <v>1453</v>
      </c>
    </row>
    <row r="18" spans="2:5" ht="20.100000000000001" hidden="1" customHeight="1">
      <c r="B18" s="415" t="s">
        <v>1543</v>
      </c>
      <c r="C18" s="416"/>
      <c r="D18" s="421">
        <f>IF((D17&lt;=11),1,3)</f>
        <v>1</v>
      </c>
      <c r="E18" s="300"/>
    </row>
    <row r="19" spans="2:5" ht="20.100000000000001" hidden="1" customHeight="1">
      <c r="B19" s="415" t="s">
        <v>1544</v>
      </c>
      <c r="C19" s="416"/>
      <c r="D19" s="421">
        <f>IF((D17&lt;=11),220,380)</f>
        <v>220</v>
      </c>
      <c r="E19" s="300"/>
    </row>
    <row r="20" spans="2:5" ht="20.100000000000001" customHeight="1">
      <c r="B20" s="415" t="s">
        <v>1450</v>
      </c>
      <c r="C20" s="416" t="s">
        <v>9</v>
      </c>
      <c r="D20" s="421">
        <v>11</v>
      </c>
      <c r="E20" s="300" t="s">
        <v>1453</v>
      </c>
    </row>
    <row r="21" spans="2:5" ht="20.100000000000001" hidden="1" customHeight="1">
      <c r="B21" s="415" t="s">
        <v>1543</v>
      </c>
      <c r="C21" s="416"/>
      <c r="D21" s="421">
        <f>IF((D20&lt;=11),1,3)</f>
        <v>1</v>
      </c>
      <c r="E21" s="300"/>
    </row>
    <row r="22" spans="2:5" ht="20.100000000000001" hidden="1" customHeight="1">
      <c r="B22" s="415" t="s">
        <v>1544</v>
      </c>
      <c r="C22" s="416"/>
      <c r="D22" s="421">
        <f>IF((D20&lt;=11),220,380)</f>
        <v>220</v>
      </c>
      <c r="E22" s="300"/>
    </row>
    <row r="23" spans="2:5" ht="20.100000000000001" customHeight="1">
      <c r="B23" s="415" t="s">
        <v>1353</v>
      </c>
      <c r="C23" s="416" t="s">
        <v>9</v>
      </c>
      <c r="D23" s="420">
        <v>1444.7</v>
      </c>
      <c r="E23" s="300" t="s">
        <v>1453</v>
      </c>
    </row>
    <row r="24" spans="2:5" ht="20.100000000000001" customHeight="1">
      <c r="B24" s="415" t="s">
        <v>1354</v>
      </c>
      <c r="C24" s="416" t="s">
        <v>9</v>
      </c>
      <c r="D24" s="420">
        <v>1444.7</v>
      </c>
      <c r="E24" s="300" t="s">
        <v>1453</v>
      </c>
    </row>
    <row r="25" spans="2:5" ht="20.100000000000001" customHeight="1">
      <c r="B25" s="415" t="s">
        <v>1452</v>
      </c>
      <c r="C25" s="416" t="s">
        <v>9</v>
      </c>
      <c r="D25" s="421">
        <v>969</v>
      </c>
      <c r="E25" s="300" t="s">
        <v>1453</v>
      </c>
    </row>
    <row r="26" spans="2:5" ht="20.100000000000001" customHeight="1">
      <c r="B26" s="417" t="s">
        <v>1355</v>
      </c>
      <c r="C26" s="418" t="s">
        <v>9</v>
      </c>
      <c r="D26" s="422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25" activePane="bottomLeft" state="frozen"/>
      <selection activeCell="H1093" sqref="H1093"/>
      <selection pane="bottomLeft" activeCell="C8" sqref="C8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0" t="s">
        <v>1357</v>
      </c>
      <c r="C3" s="600"/>
      <c r="D3" s="600"/>
      <c r="E3" s="600"/>
      <c r="F3" s="305" t="str">
        <f>DATA!D14</f>
        <v>LAPANGAN TENIS KEMENAG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1" t="s">
        <v>1349</v>
      </c>
      <c r="C5" s="601" t="s">
        <v>1358</v>
      </c>
      <c r="D5" s="602" t="s">
        <v>1359</v>
      </c>
      <c r="E5" s="602" t="s">
        <v>1360</v>
      </c>
      <c r="F5" s="601" t="s">
        <v>1361</v>
      </c>
      <c r="G5" s="601"/>
      <c r="H5" s="601"/>
      <c r="I5" s="601"/>
      <c r="J5" s="601"/>
      <c r="K5" s="601" t="s">
        <v>1362</v>
      </c>
      <c r="L5" s="601"/>
      <c r="M5" s="307"/>
      <c r="N5" s="605" t="s">
        <v>1363</v>
      </c>
      <c r="O5" s="602" t="s">
        <v>1364</v>
      </c>
      <c r="P5" s="602" t="s">
        <v>1365</v>
      </c>
      <c r="Q5" s="602" t="s">
        <v>1366</v>
      </c>
      <c r="R5" s="308"/>
      <c r="S5" s="309"/>
      <c r="T5" s="603" t="s">
        <v>1367</v>
      </c>
      <c r="U5" s="310"/>
    </row>
    <row r="6" spans="1:21" ht="20.100000000000001" customHeight="1">
      <c r="B6" s="601"/>
      <c r="C6" s="601"/>
      <c r="D6" s="601"/>
      <c r="E6" s="601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06"/>
      <c r="O6" s="601"/>
      <c r="P6" s="601"/>
      <c r="Q6" s="601"/>
      <c r="R6" s="308"/>
      <c r="S6" s="309"/>
      <c r="T6" s="601"/>
      <c r="U6" s="312"/>
    </row>
    <row r="7" spans="1:21" ht="20.100000000000001" customHeight="1">
      <c r="A7" s="313">
        <v>0</v>
      </c>
      <c r="B7" s="314">
        <v>2023</v>
      </c>
      <c r="C7" s="477">
        <f>DATA!D8*DATA!D26*1</f>
        <v>220</v>
      </c>
      <c r="D7" s="316">
        <f>C7*4/24</f>
        <v>36.666666666666664</v>
      </c>
      <c r="E7" s="316">
        <f>C7-D7</f>
        <v>183.33333333333334</v>
      </c>
      <c r="F7" s="317">
        <f ca="1">DATA!D10/1000000</f>
        <v>0.65115264000000006</v>
      </c>
      <c r="G7" s="318">
        <f ca="1">DATA!$D$11/1000000</f>
        <v>1.3023052800000001E-2</v>
      </c>
      <c r="H7" s="318">
        <f>C7*DATA!$D$5/1000000</f>
        <v>0.2385075100950485</v>
      </c>
      <c r="I7" s="318">
        <f>(C7*DATA!$D$5*DATA!$D$7)/1000000</f>
        <v>5.3664189771385909E-3</v>
      </c>
      <c r="J7" s="316">
        <f ca="1">SUM(F7:I7)</f>
        <v>0.9080496218721873</v>
      </c>
      <c r="K7" s="319">
        <f>DATA!D9/1000000</f>
        <v>5.3295000000000003</v>
      </c>
      <c r="L7" s="316">
        <f>((D7*DATA!$D$23)/1000000)+((E7*DATA!$D$24)/1000000)</f>
        <v>0.31783400000000001</v>
      </c>
      <c r="M7" s="316">
        <f>K7+L7</f>
        <v>5.6473340000000007</v>
      </c>
      <c r="N7" s="316">
        <f ca="1">M7-J7</f>
        <v>4.7392843781278131</v>
      </c>
      <c r="O7" s="314">
        <v>1</v>
      </c>
      <c r="P7" s="316">
        <f ca="1">O7*N7</f>
        <v>4.7392843781278131</v>
      </c>
      <c r="Q7" s="316">
        <f ca="1">P7</f>
        <v>4.7392843781278131</v>
      </c>
      <c r="S7" s="304" t="str">
        <f ca="1">IF(Q7&lt;0,"a","")</f>
        <v/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2640</v>
      </c>
      <c r="D8" s="316">
        <f>C8*4/24</f>
        <v>440</v>
      </c>
      <c r="E8" s="316">
        <f t="shared" ref="E8:E32" si="0">C8-D8</f>
        <v>2200</v>
      </c>
      <c r="F8" s="314"/>
      <c r="G8" s="318">
        <f ca="1">DATA!$D$11/1000000</f>
        <v>1.3023052800000001E-2</v>
      </c>
      <c r="H8" s="318">
        <f>C8*DATA!$D$5/1000000</f>
        <v>2.8620901211405818</v>
      </c>
      <c r="I8" s="318">
        <f>(C8*DATA!$D$5*DATA!$D$7)/1000000</f>
        <v>6.4397027725663095E-2</v>
      </c>
      <c r="J8" s="316">
        <f t="shared" ref="J8:J32" ca="1" si="1">SUM(F8:I8)</f>
        <v>2.9395102016662449</v>
      </c>
      <c r="K8" s="321"/>
      <c r="L8" s="316">
        <f>((D8*DATA!$D$23)/1000000)+((E8*DATA!$D$24)/1000000)</f>
        <v>3.8140079999999998</v>
      </c>
      <c r="M8" s="316">
        <f t="shared" ref="M8:M32" si="2">K8+L8</f>
        <v>3.8140079999999998</v>
      </c>
      <c r="N8" s="316">
        <f ca="1">M8-J8</f>
        <v>0.87449779833375496</v>
      </c>
      <c r="O8" s="315">
        <f>1/(1+'[93]Asumsi I'!$C$3)^(KKF!A8)</f>
        <v>0.89285714285714279</v>
      </c>
      <c r="P8" s="316">
        <f ca="1">O8*N8</f>
        <v>0.78080160565513834</v>
      </c>
      <c r="Q8" s="316">
        <f ca="1">Q7+P8</f>
        <v>5.5200859837829519</v>
      </c>
      <c r="S8" s="304" t="str">
        <f t="shared" ref="S8:S32" ca="1" si="3">IF(Q8&lt;0,"a","")</f>
        <v/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2640</v>
      </c>
      <c r="D9" s="316">
        <f t="shared" ref="D9:D32" si="5">C9*4/24</f>
        <v>440</v>
      </c>
      <c r="E9" s="316">
        <f t="shared" si="0"/>
        <v>2200</v>
      </c>
      <c r="F9" s="314"/>
      <c r="G9" s="318">
        <f ca="1">DATA!$D$11/1000000</f>
        <v>1.3023052800000001E-2</v>
      </c>
      <c r="H9" s="318">
        <f>C9*DATA!$D$5/1000000</f>
        <v>2.8620901211405818</v>
      </c>
      <c r="I9" s="318">
        <f>(C9*DATA!$D$5*DATA!$D$7)/1000000</f>
        <v>6.4397027725663095E-2</v>
      </c>
      <c r="J9" s="316">
        <f t="shared" ca="1" si="1"/>
        <v>2.9395102016662449</v>
      </c>
      <c r="K9" s="316"/>
      <c r="L9" s="316">
        <f>((D9*DATA!$D$23)/1000000)+((E9*DATA!$D$24)/1000000)</f>
        <v>3.8140079999999998</v>
      </c>
      <c r="M9" s="316">
        <f t="shared" si="2"/>
        <v>3.8140079999999998</v>
      </c>
      <c r="N9" s="316">
        <f t="shared" ref="N9:N32" ca="1" si="6">M9-J9</f>
        <v>0.87449779833375496</v>
      </c>
      <c r="O9" s="322">
        <f>1/(1+'[93]Asumsi I'!$C$3)^(KKF!A9)</f>
        <v>0.79719387755102034</v>
      </c>
      <c r="P9" s="316">
        <f t="shared" ref="P9:P32" ca="1" si="7">O9*N9</f>
        <v>0.69714429076351636</v>
      </c>
      <c r="Q9" s="316">
        <f ca="1">Q8+P9</f>
        <v>6.217230274546468</v>
      </c>
      <c r="S9" s="304" t="str">
        <f t="shared" ca="1" si="3"/>
        <v/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2640</v>
      </c>
      <c r="D10" s="316">
        <f t="shared" si="5"/>
        <v>440</v>
      </c>
      <c r="E10" s="316">
        <f t="shared" si="0"/>
        <v>2200</v>
      </c>
      <c r="F10" s="314"/>
      <c r="G10" s="318">
        <f ca="1">DATA!$D$11/1000000</f>
        <v>1.3023052800000001E-2</v>
      </c>
      <c r="H10" s="318">
        <f>C10*DATA!$D$5/1000000</f>
        <v>2.8620901211405818</v>
      </c>
      <c r="I10" s="318">
        <f>(C10*DATA!$D$5*DATA!$D$7)/1000000</f>
        <v>6.4397027725663095E-2</v>
      </c>
      <c r="J10" s="316">
        <f t="shared" ca="1" si="1"/>
        <v>2.9395102016662449</v>
      </c>
      <c r="K10" s="314"/>
      <c r="L10" s="316">
        <f>((D10*DATA!$D$23)/1000000)+((E10*DATA!$D$24)/1000000)</f>
        <v>3.8140079999999998</v>
      </c>
      <c r="M10" s="316">
        <f t="shared" si="2"/>
        <v>3.8140079999999998</v>
      </c>
      <c r="N10" s="316">
        <f t="shared" ca="1" si="6"/>
        <v>0.87449779833375496</v>
      </c>
      <c r="O10" s="315">
        <f>1/(1+'[93]Asumsi I'!$C$3)^(KKF!A10)</f>
        <v>0.71178024781341087</v>
      </c>
      <c r="P10" s="316">
        <f t="shared" ca="1" si="7"/>
        <v>0.62245025961028233</v>
      </c>
      <c r="Q10" s="316">
        <f t="shared" ref="Q10:Q30" ca="1" si="9">Q9+P10</f>
        <v>6.8396805341567504</v>
      </c>
      <c r="S10" s="304" t="str">
        <f t="shared" ca="1" si="3"/>
        <v/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2640</v>
      </c>
      <c r="D11" s="316">
        <f t="shared" si="5"/>
        <v>440</v>
      </c>
      <c r="E11" s="316">
        <f t="shared" si="0"/>
        <v>2200</v>
      </c>
      <c r="F11" s="314"/>
      <c r="G11" s="318">
        <f ca="1">DATA!$D$11/1000000</f>
        <v>1.3023052800000001E-2</v>
      </c>
      <c r="H11" s="318">
        <f>C11*DATA!$D$5/1000000</f>
        <v>2.8620901211405818</v>
      </c>
      <c r="I11" s="318">
        <f>(C11*DATA!$D$5*DATA!$D$7)/1000000</f>
        <v>6.4397027725663095E-2</v>
      </c>
      <c r="J11" s="316">
        <f t="shared" ca="1" si="1"/>
        <v>2.9395102016662449</v>
      </c>
      <c r="K11" s="314"/>
      <c r="L11" s="316">
        <f>((D11*DATA!$D$23)/1000000)+((E11*DATA!$D$24)/1000000)</f>
        <v>3.8140079999999998</v>
      </c>
      <c r="M11" s="316">
        <f t="shared" si="2"/>
        <v>3.8140079999999998</v>
      </c>
      <c r="N11" s="316">
        <f t="shared" ca="1" si="6"/>
        <v>0.87449779833375496</v>
      </c>
      <c r="O11" s="315">
        <f>1/(1+'[93]Asumsi I'!$C$3)^(KKF!A11)</f>
        <v>0.63551807840483121</v>
      </c>
      <c r="P11" s="316">
        <f t="shared" ca="1" si="7"/>
        <v>0.55575916036632356</v>
      </c>
      <c r="Q11" s="316">
        <f t="shared" ca="1" si="9"/>
        <v>7.3954396945230743</v>
      </c>
      <c r="S11" s="304" t="str">
        <f t="shared" ca="1" si="3"/>
        <v/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2640</v>
      </c>
      <c r="D12" s="316">
        <f t="shared" si="5"/>
        <v>440</v>
      </c>
      <c r="E12" s="316">
        <f t="shared" si="0"/>
        <v>2200</v>
      </c>
      <c r="F12" s="314"/>
      <c r="G12" s="318">
        <f ca="1">DATA!$D$11/1000000</f>
        <v>1.3023052800000001E-2</v>
      </c>
      <c r="H12" s="318">
        <f>C12*DATA!$D$5/1000000</f>
        <v>2.8620901211405818</v>
      </c>
      <c r="I12" s="318">
        <f>(C12*DATA!$D$5*DATA!$D$7)/1000000</f>
        <v>6.4397027725663095E-2</v>
      </c>
      <c r="J12" s="316">
        <f t="shared" ca="1" si="1"/>
        <v>2.9395102016662449</v>
      </c>
      <c r="K12" s="314"/>
      <c r="L12" s="316">
        <f>((D12*DATA!$D$23)/1000000)+((E12*DATA!$D$24)/1000000)</f>
        <v>3.8140079999999998</v>
      </c>
      <c r="M12" s="316">
        <f t="shared" si="2"/>
        <v>3.8140079999999998</v>
      </c>
      <c r="N12" s="316">
        <f t="shared" ca="1" si="6"/>
        <v>0.87449779833375496</v>
      </c>
      <c r="O12" s="315">
        <f>1/(1+'[93]Asumsi I'!$C$3)^(KKF!A12)</f>
        <v>0.56742685571859919</v>
      </c>
      <c r="P12" s="316">
        <f t="shared" ca="1" si="7"/>
        <v>0.4962135360413602</v>
      </c>
      <c r="Q12" s="316">
        <f t="shared" ca="1" si="9"/>
        <v>7.8916532305644349</v>
      </c>
      <c r="S12" s="304" t="str">
        <f t="shared" ca="1" si="3"/>
        <v/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2640</v>
      </c>
      <c r="D13" s="316">
        <f t="shared" si="5"/>
        <v>440</v>
      </c>
      <c r="E13" s="316">
        <f t="shared" si="0"/>
        <v>2200</v>
      </c>
      <c r="F13" s="314"/>
      <c r="G13" s="318">
        <f ca="1">DATA!$D$11/1000000</f>
        <v>1.3023052800000001E-2</v>
      </c>
      <c r="H13" s="318">
        <f>C13*DATA!$D$5/1000000</f>
        <v>2.8620901211405818</v>
      </c>
      <c r="I13" s="318">
        <f>(C13*DATA!$D$5*DATA!$D$7)/1000000</f>
        <v>6.4397027725663095E-2</v>
      </c>
      <c r="J13" s="316">
        <f t="shared" ca="1" si="1"/>
        <v>2.9395102016662449</v>
      </c>
      <c r="K13" s="314"/>
      <c r="L13" s="316">
        <f>((D13*DATA!$D$23)/1000000)+((E13*DATA!$D$24)/1000000)</f>
        <v>3.8140079999999998</v>
      </c>
      <c r="M13" s="316">
        <f t="shared" si="2"/>
        <v>3.8140079999999998</v>
      </c>
      <c r="N13" s="316">
        <f t="shared" ca="1" si="6"/>
        <v>0.87449779833375496</v>
      </c>
      <c r="O13" s="315">
        <f>1/(1+'[93]Asumsi I'!$C$3)^(KKF!A13)</f>
        <v>0.50663112117732068</v>
      </c>
      <c r="P13" s="316">
        <f t="shared" ca="1" si="7"/>
        <v>0.44304780003692873</v>
      </c>
      <c r="Q13" s="316">
        <f t="shared" ca="1" si="9"/>
        <v>8.334701030601364</v>
      </c>
      <c r="S13" s="304" t="str">
        <f t="shared" ca="1" si="3"/>
        <v/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2640</v>
      </c>
      <c r="D14" s="316">
        <f t="shared" si="5"/>
        <v>440</v>
      </c>
      <c r="E14" s="316">
        <f t="shared" si="0"/>
        <v>2200</v>
      </c>
      <c r="F14" s="314"/>
      <c r="G14" s="318">
        <f ca="1">DATA!$D$11/1000000</f>
        <v>1.3023052800000001E-2</v>
      </c>
      <c r="H14" s="318">
        <f>C14*DATA!$D$5/1000000</f>
        <v>2.8620901211405818</v>
      </c>
      <c r="I14" s="318">
        <f>(C14*DATA!$D$5*DATA!$D$7)/1000000</f>
        <v>6.4397027725663095E-2</v>
      </c>
      <c r="J14" s="316">
        <f t="shared" ca="1" si="1"/>
        <v>2.9395102016662449</v>
      </c>
      <c r="K14" s="314"/>
      <c r="L14" s="316">
        <f>((D14*DATA!$D$23)/1000000)+((E14*DATA!$D$24)/1000000)</f>
        <v>3.8140079999999998</v>
      </c>
      <c r="M14" s="316">
        <f t="shared" si="2"/>
        <v>3.8140079999999998</v>
      </c>
      <c r="N14" s="316">
        <f t="shared" ca="1" si="6"/>
        <v>0.87449779833375496</v>
      </c>
      <c r="O14" s="315">
        <f>1/(1+'[93]Asumsi I'!$C$3)^(KKF!A14)</f>
        <v>0.45234921533689343</v>
      </c>
      <c r="P14" s="316">
        <f t="shared" ca="1" si="7"/>
        <v>0.39557839289011493</v>
      </c>
      <c r="Q14" s="316">
        <f t="shared" ca="1" si="9"/>
        <v>8.7302794234914796</v>
      </c>
      <c r="S14" s="304" t="str">
        <f t="shared" ca="1" si="3"/>
        <v/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2640</v>
      </c>
      <c r="D15" s="316">
        <f t="shared" si="5"/>
        <v>440</v>
      </c>
      <c r="E15" s="316">
        <f t="shared" si="0"/>
        <v>2200</v>
      </c>
      <c r="F15" s="314"/>
      <c r="G15" s="318">
        <f ca="1">DATA!$D$11/1000000</f>
        <v>1.3023052800000001E-2</v>
      </c>
      <c r="H15" s="318">
        <f>C15*DATA!$D$5/1000000</f>
        <v>2.8620901211405818</v>
      </c>
      <c r="I15" s="318">
        <f>(C15*DATA!$D$5*DATA!$D$7)/1000000</f>
        <v>6.4397027725663095E-2</v>
      </c>
      <c r="J15" s="316">
        <f t="shared" ca="1" si="1"/>
        <v>2.9395102016662449</v>
      </c>
      <c r="K15" s="314"/>
      <c r="L15" s="316">
        <f>((D15*DATA!$D$23)/1000000)+((E15*DATA!$D$24)/1000000)</f>
        <v>3.8140079999999998</v>
      </c>
      <c r="M15" s="316">
        <f t="shared" si="2"/>
        <v>3.8140079999999998</v>
      </c>
      <c r="N15" s="316">
        <f t="shared" ca="1" si="6"/>
        <v>0.87449779833375496</v>
      </c>
      <c r="O15" s="315">
        <f>1/(1+'[93]Asumsi I'!$C$3)^(KKF!A15)</f>
        <v>0.4038832279793691</v>
      </c>
      <c r="P15" s="316">
        <f t="shared" ca="1" si="7"/>
        <v>0.35319499365188828</v>
      </c>
      <c r="Q15" s="316">
        <f t="shared" ca="1" si="9"/>
        <v>9.0834744171433677</v>
      </c>
      <c r="S15" s="304" t="str">
        <f t="shared" ca="1" si="3"/>
        <v/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2640</v>
      </c>
      <c r="D16" s="316">
        <f t="shared" si="5"/>
        <v>440</v>
      </c>
      <c r="E16" s="316">
        <f t="shared" si="0"/>
        <v>2200</v>
      </c>
      <c r="F16" s="314"/>
      <c r="G16" s="318">
        <f ca="1">DATA!$D$11/1000000</f>
        <v>1.3023052800000001E-2</v>
      </c>
      <c r="H16" s="318">
        <f>C16*DATA!$D$5/1000000</f>
        <v>2.8620901211405818</v>
      </c>
      <c r="I16" s="318">
        <f>(C16*DATA!$D$5*DATA!$D$7)/1000000</f>
        <v>6.4397027725663095E-2</v>
      </c>
      <c r="J16" s="316">
        <f t="shared" ca="1" si="1"/>
        <v>2.9395102016662449</v>
      </c>
      <c r="K16" s="314"/>
      <c r="L16" s="316">
        <f>((D16*DATA!$D$23)/1000000)+((E16*DATA!$D$24)/1000000)</f>
        <v>3.8140079999999998</v>
      </c>
      <c r="M16" s="316">
        <f t="shared" si="2"/>
        <v>3.8140079999999998</v>
      </c>
      <c r="N16" s="316">
        <f t="shared" ca="1" si="6"/>
        <v>0.87449779833375496</v>
      </c>
      <c r="O16" s="315">
        <f>1/(1+'[93]Asumsi I'!$C$3)^(KKF!A16)</f>
        <v>0.36061002498157957</v>
      </c>
      <c r="P16" s="316">
        <f t="shared" ca="1" si="7"/>
        <v>0.31535267290347169</v>
      </c>
      <c r="Q16" s="316">
        <f t="shared" ca="1" si="9"/>
        <v>9.39882709004684</v>
      </c>
      <c r="S16" s="304" t="str">
        <f t="shared" ca="1" si="3"/>
        <v/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2640</v>
      </c>
      <c r="D17" s="316">
        <f t="shared" si="5"/>
        <v>440</v>
      </c>
      <c r="E17" s="316">
        <f t="shared" si="0"/>
        <v>2200</v>
      </c>
      <c r="F17" s="314"/>
      <c r="G17" s="318">
        <f ca="1">DATA!$D$11/1000000</f>
        <v>1.3023052800000001E-2</v>
      </c>
      <c r="H17" s="318">
        <f>C17*DATA!$D$5/1000000</f>
        <v>2.8620901211405818</v>
      </c>
      <c r="I17" s="318">
        <f>(C17*DATA!$D$5*DATA!$D$7)/1000000</f>
        <v>6.4397027725663095E-2</v>
      </c>
      <c r="J17" s="316">
        <f t="shared" ca="1" si="1"/>
        <v>2.9395102016662449</v>
      </c>
      <c r="K17" s="314"/>
      <c r="L17" s="316">
        <f>((D17*DATA!$D$23)/1000000)+((E17*DATA!$D$24)/1000000)</f>
        <v>3.8140079999999998</v>
      </c>
      <c r="M17" s="316">
        <f t="shared" si="2"/>
        <v>3.8140079999999998</v>
      </c>
      <c r="N17" s="316">
        <f t="shared" ca="1" si="6"/>
        <v>0.87449779833375496</v>
      </c>
      <c r="O17" s="315">
        <f>1/(1+'[93]Asumsi I'!$C$3)^(KKF!A17)</f>
        <v>0.32197323659069599</v>
      </c>
      <c r="P17" s="316">
        <f t="shared" ca="1" si="7"/>
        <v>0.28156488652095685</v>
      </c>
      <c r="Q17" s="316">
        <f t="shared" ca="1" si="9"/>
        <v>9.6803919765677975</v>
      </c>
      <c r="S17" s="304" t="str">
        <f t="shared" ca="1" si="3"/>
        <v/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2640</v>
      </c>
      <c r="D18" s="316">
        <f t="shared" si="5"/>
        <v>440</v>
      </c>
      <c r="E18" s="316">
        <f t="shared" si="0"/>
        <v>2200</v>
      </c>
      <c r="F18" s="314"/>
      <c r="G18" s="318">
        <f ca="1">DATA!$D$11/1000000</f>
        <v>1.3023052800000001E-2</v>
      </c>
      <c r="H18" s="318">
        <f>C18*DATA!$D$5/1000000</f>
        <v>2.8620901211405818</v>
      </c>
      <c r="I18" s="318">
        <f>(C18*DATA!$D$5*DATA!$D$7)/1000000</f>
        <v>6.4397027725663095E-2</v>
      </c>
      <c r="J18" s="316">
        <f t="shared" ca="1" si="1"/>
        <v>2.9395102016662449</v>
      </c>
      <c r="K18" s="314"/>
      <c r="L18" s="316">
        <f>((D18*DATA!$D$23)/1000000)+((E18*DATA!$D$24)/1000000)</f>
        <v>3.8140079999999998</v>
      </c>
      <c r="M18" s="316">
        <f t="shared" si="2"/>
        <v>3.8140079999999998</v>
      </c>
      <c r="N18" s="316">
        <f t="shared" ca="1" si="6"/>
        <v>0.87449779833375496</v>
      </c>
      <c r="O18" s="315">
        <f>1/(1+'[93]Asumsi I'!$C$3)^(KKF!A18)</f>
        <v>0.28747610409883567</v>
      </c>
      <c r="P18" s="316">
        <f t="shared" ca="1" si="7"/>
        <v>0.25139722010799714</v>
      </c>
      <c r="Q18" s="316">
        <f t="shared" ca="1" si="9"/>
        <v>9.9317891966757941</v>
      </c>
      <c r="S18" s="304" t="str">
        <f t="shared" ca="1" si="3"/>
        <v/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2640</v>
      </c>
      <c r="D19" s="316">
        <f t="shared" si="5"/>
        <v>440</v>
      </c>
      <c r="E19" s="316">
        <f t="shared" si="0"/>
        <v>2200</v>
      </c>
      <c r="F19" s="314"/>
      <c r="G19" s="318">
        <f ca="1">DATA!$D$11/1000000</f>
        <v>1.3023052800000001E-2</v>
      </c>
      <c r="H19" s="318">
        <f>C19*DATA!$D$5/1000000</f>
        <v>2.8620901211405818</v>
      </c>
      <c r="I19" s="318">
        <f>(C19*DATA!$D$5*DATA!$D$7)/1000000</f>
        <v>6.4397027725663095E-2</v>
      </c>
      <c r="J19" s="316">
        <f t="shared" ca="1" si="1"/>
        <v>2.9395102016662449</v>
      </c>
      <c r="K19" s="314"/>
      <c r="L19" s="316">
        <f>((D19*DATA!$D$23)/1000000)+((E19*DATA!$D$24)/1000000)</f>
        <v>3.8140079999999998</v>
      </c>
      <c r="M19" s="316">
        <f t="shared" si="2"/>
        <v>3.8140079999999998</v>
      </c>
      <c r="N19" s="316">
        <f t="shared" ca="1" si="6"/>
        <v>0.87449779833375496</v>
      </c>
      <c r="O19" s="315">
        <f>1/(1+'[93]Asumsi I'!$C$3)^(KKF!A19)</f>
        <v>0.25667509294538904</v>
      </c>
      <c r="P19" s="316">
        <f t="shared" ca="1" si="7"/>
        <v>0.22446180366785462</v>
      </c>
      <c r="Q19" s="316">
        <f t="shared" ca="1" si="9"/>
        <v>10.156251000343648</v>
      </c>
      <c r="S19" s="304" t="str">
        <f t="shared" ca="1" si="3"/>
        <v/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2640</v>
      </c>
      <c r="D20" s="316">
        <f t="shared" si="5"/>
        <v>440</v>
      </c>
      <c r="E20" s="316">
        <f t="shared" si="0"/>
        <v>2200</v>
      </c>
      <c r="F20" s="314"/>
      <c r="G20" s="318">
        <f ca="1">DATA!$D$11/1000000</f>
        <v>1.3023052800000001E-2</v>
      </c>
      <c r="H20" s="318">
        <f>C20*DATA!$D$5/1000000</f>
        <v>2.8620901211405818</v>
      </c>
      <c r="I20" s="318">
        <f>(C20*DATA!$D$5*DATA!$D$7)/1000000</f>
        <v>6.4397027725663095E-2</v>
      </c>
      <c r="J20" s="316">
        <f t="shared" ca="1" si="1"/>
        <v>2.9395102016662449</v>
      </c>
      <c r="K20" s="314"/>
      <c r="L20" s="316">
        <f>((D20*DATA!$D$23)/1000000)+((E20*DATA!$D$24)/1000000)</f>
        <v>3.8140079999999998</v>
      </c>
      <c r="M20" s="316">
        <f t="shared" si="2"/>
        <v>3.8140079999999998</v>
      </c>
      <c r="N20" s="316">
        <f t="shared" ca="1" si="6"/>
        <v>0.87449779833375496</v>
      </c>
      <c r="O20" s="315">
        <f>1/(1+'[93]Asumsi I'!$C$3)^(KKF!A20)</f>
        <v>0.22917419012981158</v>
      </c>
      <c r="P20" s="316">
        <f t="shared" ca="1" si="7"/>
        <v>0.20041232470344159</v>
      </c>
      <c r="Q20" s="316">
        <f t="shared" ca="1" si="9"/>
        <v>10.356663325047089</v>
      </c>
      <c r="S20" s="304" t="str">
        <f t="shared" ca="1" si="3"/>
        <v/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2640</v>
      </c>
      <c r="D21" s="316">
        <f t="shared" si="5"/>
        <v>440</v>
      </c>
      <c r="E21" s="316">
        <f t="shared" si="0"/>
        <v>2200</v>
      </c>
      <c r="F21" s="314"/>
      <c r="G21" s="318">
        <f ca="1">DATA!$D$11/1000000</f>
        <v>1.3023052800000001E-2</v>
      </c>
      <c r="H21" s="318">
        <f>C21*DATA!$D$5/1000000</f>
        <v>2.8620901211405818</v>
      </c>
      <c r="I21" s="318">
        <f>(C21*DATA!$D$5*DATA!$D$7)/1000000</f>
        <v>6.4397027725663095E-2</v>
      </c>
      <c r="J21" s="316">
        <f t="shared" ca="1" si="1"/>
        <v>2.9395102016662449</v>
      </c>
      <c r="K21" s="314"/>
      <c r="L21" s="316">
        <f>((D21*DATA!$D$23)/1000000)+((E21*DATA!$D$24)/1000000)</f>
        <v>3.8140079999999998</v>
      </c>
      <c r="M21" s="316">
        <f t="shared" si="2"/>
        <v>3.8140079999999998</v>
      </c>
      <c r="N21" s="316">
        <f t="shared" ca="1" si="6"/>
        <v>0.87449779833375496</v>
      </c>
      <c r="O21" s="315">
        <f>1/(1+'[93]Asumsi I'!$C$3)^(KKF!A21)</f>
        <v>0.20461981261590317</v>
      </c>
      <c r="P21" s="316">
        <f t="shared" ca="1" si="7"/>
        <v>0.17893957562807283</v>
      </c>
      <c r="Q21" s="316">
        <f t="shared" ca="1" si="9"/>
        <v>10.535602900675162</v>
      </c>
      <c r="S21" s="304" t="str">
        <f t="shared" ca="1" si="3"/>
        <v/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2640</v>
      </c>
      <c r="D22" s="316">
        <f t="shared" si="5"/>
        <v>440</v>
      </c>
      <c r="E22" s="316">
        <f t="shared" si="0"/>
        <v>2200</v>
      </c>
      <c r="F22" s="314"/>
      <c r="G22" s="318">
        <f ca="1">DATA!$D$11/1000000</f>
        <v>1.3023052800000001E-2</v>
      </c>
      <c r="H22" s="318">
        <f>C22*DATA!$D$5/1000000</f>
        <v>2.8620901211405818</v>
      </c>
      <c r="I22" s="318">
        <f>(C22*DATA!$D$5*DATA!$D$7)/1000000</f>
        <v>6.4397027725663095E-2</v>
      </c>
      <c r="J22" s="316">
        <f t="shared" ca="1" si="1"/>
        <v>2.9395102016662449</v>
      </c>
      <c r="K22" s="314"/>
      <c r="L22" s="316">
        <f>((D22*DATA!$D$23)/1000000)+((E22*DATA!$D$24)/1000000)</f>
        <v>3.8140079999999998</v>
      </c>
      <c r="M22" s="316">
        <f t="shared" si="2"/>
        <v>3.8140079999999998</v>
      </c>
      <c r="N22" s="316">
        <f t="shared" ca="1" si="6"/>
        <v>0.87449779833375496</v>
      </c>
      <c r="O22" s="315">
        <f>1/(1+'[93]Asumsi I'!$C$3)^(KKF!A22)</f>
        <v>0.18269626126419927</v>
      </c>
      <c r="P22" s="316">
        <f t="shared" ca="1" si="7"/>
        <v>0.15976747823935075</v>
      </c>
      <c r="Q22" s="316">
        <f t="shared" ca="1" si="9"/>
        <v>10.695370378914513</v>
      </c>
      <c r="S22" s="304" t="str">
        <f t="shared" ca="1" si="3"/>
        <v/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2640</v>
      </c>
      <c r="D23" s="316">
        <f t="shared" si="5"/>
        <v>440</v>
      </c>
      <c r="E23" s="316">
        <f t="shared" si="0"/>
        <v>2200</v>
      </c>
      <c r="F23" s="314"/>
      <c r="G23" s="318">
        <f ca="1">DATA!$D$11/1000000</f>
        <v>1.3023052800000001E-2</v>
      </c>
      <c r="H23" s="318">
        <f>C23*DATA!$D$5/1000000</f>
        <v>2.8620901211405818</v>
      </c>
      <c r="I23" s="318">
        <f>(C23*DATA!$D$5*DATA!$D$7)/1000000</f>
        <v>6.4397027725663095E-2</v>
      </c>
      <c r="J23" s="316">
        <f t="shared" ca="1" si="1"/>
        <v>2.9395102016662449</v>
      </c>
      <c r="K23" s="314"/>
      <c r="L23" s="316">
        <f>((D23*DATA!$D$23)/1000000)+((E23*DATA!$D$24)/1000000)</f>
        <v>3.8140079999999998</v>
      </c>
      <c r="M23" s="316">
        <f t="shared" si="2"/>
        <v>3.8140079999999998</v>
      </c>
      <c r="N23" s="316">
        <f t="shared" ca="1" si="6"/>
        <v>0.87449779833375496</v>
      </c>
      <c r="O23" s="315">
        <f>1/(1+'[93]Asumsi I'!$C$3)^(KKF!A23)</f>
        <v>0.16312166184303503</v>
      </c>
      <c r="P23" s="316">
        <f t="shared" ca="1" si="7"/>
        <v>0.14264953414227743</v>
      </c>
      <c r="Q23" s="316">
        <f t="shared" ca="1" si="9"/>
        <v>10.83801991305679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2640</v>
      </c>
      <c r="D24" s="316">
        <f t="shared" si="5"/>
        <v>440</v>
      </c>
      <c r="E24" s="316">
        <f t="shared" si="0"/>
        <v>2200</v>
      </c>
      <c r="F24" s="314"/>
      <c r="G24" s="318">
        <f ca="1">DATA!$D$11/1000000</f>
        <v>1.3023052800000001E-2</v>
      </c>
      <c r="H24" s="318">
        <f>C24*DATA!$D$5/1000000</f>
        <v>2.8620901211405818</v>
      </c>
      <c r="I24" s="318">
        <f>(C24*DATA!$D$5*DATA!$D$7)/1000000</f>
        <v>6.4397027725663095E-2</v>
      </c>
      <c r="J24" s="316">
        <f t="shared" ca="1" si="1"/>
        <v>2.9395102016662449</v>
      </c>
      <c r="K24" s="314"/>
      <c r="L24" s="316">
        <f>((D24*DATA!$D$23)/1000000)+((E24*DATA!$D$24)/1000000)</f>
        <v>3.8140079999999998</v>
      </c>
      <c r="M24" s="316">
        <f t="shared" si="2"/>
        <v>3.8140079999999998</v>
      </c>
      <c r="N24" s="316">
        <f t="shared" ca="1" si="6"/>
        <v>0.87449779833375496</v>
      </c>
      <c r="O24" s="315">
        <f>1/(1+'[93]Asumsi I'!$C$3)^(KKF!A24)</f>
        <v>0.14564434093128129</v>
      </c>
      <c r="P24" s="316">
        <f t="shared" ca="1" si="7"/>
        <v>0.12736565548417628</v>
      </c>
      <c r="Q24" s="316">
        <f t="shared" ca="1" si="9"/>
        <v>10.965385568540967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2640</v>
      </c>
      <c r="D25" s="316">
        <f t="shared" si="5"/>
        <v>440</v>
      </c>
      <c r="E25" s="316">
        <f t="shared" si="0"/>
        <v>2200</v>
      </c>
      <c r="F25" s="314"/>
      <c r="G25" s="318">
        <f ca="1">DATA!$D$11/1000000</f>
        <v>1.3023052800000001E-2</v>
      </c>
      <c r="H25" s="318">
        <f>C25*DATA!$D$5/1000000</f>
        <v>2.8620901211405818</v>
      </c>
      <c r="I25" s="318">
        <f>(C25*DATA!$D$5*DATA!$D$7)/1000000</f>
        <v>6.4397027725663095E-2</v>
      </c>
      <c r="J25" s="316">
        <f t="shared" ca="1" si="1"/>
        <v>2.9395102016662449</v>
      </c>
      <c r="K25" s="314"/>
      <c r="L25" s="316">
        <f>((D25*DATA!$D$23)/1000000)+((E25*DATA!$D$24)/1000000)</f>
        <v>3.8140079999999998</v>
      </c>
      <c r="M25" s="316">
        <f t="shared" si="2"/>
        <v>3.8140079999999998</v>
      </c>
      <c r="N25" s="316">
        <f t="shared" ca="1" si="6"/>
        <v>0.87449779833375496</v>
      </c>
      <c r="O25" s="315">
        <f>1/(1+'[93]Asumsi I'!$C$3)^(KKF!A25)</f>
        <v>0.13003959011721541</v>
      </c>
      <c r="P25" s="316">
        <f t="shared" ca="1" si="7"/>
        <v>0.11371933525372881</v>
      </c>
      <c r="Q25" s="316">
        <f t="shared" ca="1" si="9"/>
        <v>11.079104903794695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2640</v>
      </c>
      <c r="D26" s="316">
        <f t="shared" si="5"/>
        <v>440</v>
      </c>
      <c r="E26" s="316">
        <f t="shared" si="0"/>
        <v>2200</v>
      </c>
      <c r="F26" s="314"/>
      <c r="G26" s="318">
        <f ca="1">DATA!$D$11/1000000</f>
        <v>1.3023052800000001E-2</v>
      </c>
      <c r="H26" s="318">
        <f>C26*DATA!$D$5/1000000</f>
        <v>2.8620901211405818</v>
      </c>
      <c r="I26" s="318">
        <f>(C26*DATA!$D$5*DATA!$D$7)/1000000</f>
        <v>6.4397027725663095E-2</v>
      </c>
      <c r="J26" s="316">
        <f t="shared" ca="1" si="1"/>
        <v>2.9395102016662449</v>
      </c>
      <c r="K26" s="314"/>
      <c r="L26" s="316">
        <f>((D26*DATA!$D$23)/1000000)+((E26*DATA!$D$24)/1000000)</f>
        <v>3.8140079999999998</v>
      </c>
      <c r="M26" s="316">
        <f t="shared" si="2"/>
        <v>3.8140079999999998</v>
      </c>
      <c r="N26" s="316">
        <f t="shared" ca="1" si="6"/>
        <v>0.87449779833375496</v>
      </c>
      <c r="O26" s="315">
        <f>1/(1+'[93]Asumsi I'!$C$3)^(KKF!A26)</f>
        <v>0.1161067768903709</v>
      </c>
      <c r="P26" s="316">
        <f t="shared" ca="1" si="7"/>
        <v>0.10153512076225785</v>
      </c>
      <c r="Q26" s="316">
        <f t="shared" ca="1" si="9"/>
        <v>11.180640024556952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2640</v>
      </c>
      <c r="D27" s="316">
        <f t="shared" si="5"/>
        <v>440</v>
      </c>
      <c r="E27" s="316">
        <f t="shared" si="0"/>
        <v>2200</v>
      </c>
      <c r="F27" s="314"/>
      <c r="G27" s="318">
        <f ca="1">DATA!$D$11/1000000</f>
        <v>1.3023052800000001E-2</v>
      </c>
      <c r="H27" s="318">
        <f>C27*DATA!$D$5/1000000</f>
        <v>2.8620901211405818</v>
      </c>
      <c r="I27" s="318">
        <f>(C27*DATA!$D$5*DATA!$D$7)/1000000</f>
        <v>6.4397027725663095E-2</v>
      </c>
      <c r="J27" s="316">
        <f t="shared" ca="1" si="1"/>
        <v>2.9395102016662449</v>
      </c>
      <c r="K27" s="314"/>
      <c r="L27" s="316">
        <f>((D27*DATA!$D$23)/1000000)+((E27*DATA!$D$24)/1000000)</f>
        <v>3.8140079999999998</v>
      </c>
      <c r="M27" s="316">
        <f t="shared" si="2"/>
        <v>3.8140079999999998</v>
      </c>
      <c r="N27" s="316">
        <f t="shared" ca="1" si="6"/>
        <v>0.87449779833375496</v>
      </c>
      <c r="O27" s="315">
        <f>1/(1+'[93]Asumsi I'!$C$3)^(KKF!A27)</f>
        <v>0.1036667650806883</v>
      </c>
      <c r="P27" s="316">
        <f t="shared" ca="1" si="7"/>
        <v>9.06563578234445E-2</v>
      </c>
      <c r="Q27" s="316">
        <f t="shared" ca="1" si="9"/>
        <v>11.271296382380397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2640</v>
      </c>
      <c r="D28" s="316">
        <f t="shared" si="5"/>
        <v>440</v>
      </c>
      <c r="E28" s="316">
        <f t="shared" si="0"/>
        <v>2200</v>
      </c>
      <c r="F28" s="314"/>
      <c r="G28" s="318">
        <f ca="1">DATA!$D$11/1000000</f>
        <v>1.3023052800000001E-2</v>
      </c>
      <c r="H28" s="318">
        <f>C28*DATA!$D$5/1000000</f>
        <v>2.8620901211405818</v>
      </c>
      <c r="I28" s="318">
        <f>(C28*DATA!$D$5*DATA!$D$7)/1000000</f>
        <v>6.4397027725663095E-2</v>
      </c>
      <c r="J28" s="316">
        <f t="shared" ca="1" si="1"/>
        <v>2.9395102016662449</v>
      </c>
      <c r="K28" s="314"/>
      <c r="L28" s="316">
        <f>((D28*DATA!$D$23)/1000000)+((E28*DATA!$D$24)/1000000)</f>
        <v>3.8140079999999998</v>
      </c>
      <c r="M28" s="316">
        <f t="shared" si="2"/>
        <v>3.8140079999999998</v>
      </c>
      <c r="N28" s="316">
        <f t="shared" ca="1" si="6"/>
        <v>0.87449779833375496</v>
      </c>
      <c r="O28" s="315">
        <f>1/(1+'[93]Asumsi I'!$C$3)^(KKF!A28)</f>
        <v>9.2559611679185971E-2</v>
      </c>
      <c r="P28" s="316">
        <f t="shared" ca="1" si="7"/>
        <v>8.0943176628075444E-2</v>
      </c>
      <c r="Q28" s="316">
        <f t="shared" ca="1" si="9"/>
        <v>11.352239559008472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2640</v>
      </c>
      <c r="D29" s="316">
        <f t="shared" si="5"/>
        <v>440</v>
      </c>
      <c r="E29" s="316">
        <f t="shared" si="0"/>
        <v>2200</v>
      </c>
      <c r="F29" s="314"/>
      <c r="G29" s="318">
        <f ca="1">DATA!$D$11/1000000</f>
        <v>1.3023052800000001E-2</v>
      </c>
      <c r="H29" s="318">
        <f>C29*DATA!$D$5/1000000</f>
        <v>2.8620901211405818</v>
      </c>
      <c r="I29" s="318">
        <f>(C29*DATA!$D$5*DATA!$D$7)/1000000</f>
        <v>6.4397027725663095E-2</v>
      </c>
      <c r="J29" s="316">
        <f t="shared" ca="1" si="1"/>
        <v>2.9395102016662449</v>
      </c>
      <c r="K29" s="314"/>
      <c r="L29" s="316">
        <f>((D29*DATA!$D$23)/1000000)+((E29*DATA!$D$24)/1000000)</f>
        <v>3.8140079999999998</v>
      </c>
      <c r="M29" s="316">
        <f t="shared" si="2"/>
        <v>3.8140079999999998</v>
      </c>
      <c r="N29" s="316">
        <f t="shared" ca="1" si="6"/>
        <v>0.87449779833375496</v>
      </c>
      <c r="O29" s="315">
        <f>1/(1+'[93]Asumsi I'!$C$3)^(KKF!A29)</f>
        <v>8.2642510427844609E-2</v>
      </c>
      <c r="P29" s="316">
        <f t="shared" ca="1" si="7"/>
        <v>7.2270693417924498E-2</v>
      </c>
      <c r="Q29" s="316">
        <f t="shared" ca="1" si="9"/>
        <v>11.424510252426398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2640</v>
      </c>
      <c r="D30" s="316">
        <f t="shared" si="5"/>
        <v>440</v>
      </c>
      <c r="E30" s="316">
        <f t="shared" si="0"/>
        <v>2200</v>
      </c>
      <c r="F30" s="314"/>
      <c r="G30" s="318">
        <f ca="1">DATA!$D$11/1000000</f>
        <v>1.3023052800000001E-2</v>
      </c>
      <c r="H30" s="318">
        <f>C30*DATA!$D$5/1000000</f>
        <v>2.8620901211405818</v>
      </c>
      <c r="I30" s="318">
        <f>(C30*DATA!$D$5*DATA!$D$7)/1000000</f>
        <v>6.4397027725663095E-2</v>
      </c>
      <c r="J30" s="316">
        <f t="shared" ca="1" si="1"/>
        <v>2.9395102016662449</v>
      </c>
      <c r="K30" s="314"/>
      <c r="L30" s="316">
        <f>((D30*DATA!$D$23)/1000000)+((E30*DATA!$D$24)/1000000)</f>
        <v>3.8140079999999998</v>
      </c>
      <c r="M30" s="316">
        <f t="shared" si="2"/>
        <v>3.8140079999999998</v>
      </c>
      <c r="N30" s="316">
        <f t="shared" ca="1" si="6"/>
        <v>0.87449779833375496</v>
      </c>
      <c r="O30" s="315">
        <f>1/(1+'[93]Asumsi I'!$C$3)^(KKF!A30)</f>
        <v>7.3787955739146982E-2</v>
      </c>
      <c r="P30" s="316">
        <f t="shared" ca="1" si="7"/>
        <v>6.4527404837432592E-2</v>
      </c>
      <c r="Q30" s="316">
        <f t="shared" ca="1" si="9"/>
        <v>11.489037657263831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2640</v>
      </c>
      <c r="D31" s="316">
        <f t="shared" si="5"/>
        <v>440</v>
      </c>
      <c r="E31" s="316">
        <f t="shared" si="0"/>
        <v>2200</v>
      </c>
      <c r="F31" s="314"/>
      <c r="G31" s="318">
        <f ca="1">DATA!$D$11/1000000</f>
        <v>1.3023052800000001E-2</v>
      </c>
      <c r="H31" s="318">
        <f>C31*DATA!$D$5/1000000</f>
        <v>2.8620901211405818</v>
      </c>
      <c r="I31" s="318">
        <f>(C31*DATA!$D$5*DATA!$D$7)/1000000</f>
        <v>6.4397027725663095E-2</v>
      </c>
      <c r="J31" s="316">
        <f t="shared" ca="1" si="1"/>
        <v>2.9395102016662449</v>
      </c>
      <c r="K31" s="314"/>
      <c r="L31" s="316">
        <f>((D31*DATA!$D$23)/1000000)+((E31*DATA!$D$24)/1000000)</f>
        <v>3.8140079999999998</v>
      </c>
      <c r="M31" s="316">
        <f t="shared" si="2"/>
        <v>3.8140079999999998</v>
      </c>
      <c r="N31" s="316">
        <f t="shared" ca="1" si="6"/>
        <v>0.87449779833375496</v>
      </c>
      <c r="O31" s="315">
        <f>1/(1+'[93]Asumsi I'!$C$3)^(KKF!A31)</f>
        <v>6.5882103338524081E-2</v>
      </c>
      <c r="P31" s="316">
        <f t="shared" ca="1" si="7"/>
        <v>5.7613754319136234E-2</v>
      </c>
      <c r="Q31" s="316">
        <f ca="1">Q30+P31</f>
        <v>11.546651411582967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2640</v>
      </c>
      <c r="D32" s="316">
        <f t="shared" si="5"/>
        <v>440</v>
      </c>
      <c r="E32" s="316">
        <f t="shared" si="0"/>
        <v>2200</v>
      </c>
      <c r="F32" s="314"/>
      <c r="G32" s="318">
        <f ca="1">DATA!$D$11/1000000</f>
        <v>1.3023052800000001E-2</v>
      </c>
      <c r="H32" s="318">
        <f>C32*DATA!$D$5/1000000</f>
        <v>2.8620901211405818</v>
      </c>
      <c r="I32" s="318">
        <f>(C32*DATA!$D$5*DATA!$D$7)/1000000</f>
        <v>6.4397027725663095E-2</v>
      </c>
      <c r="J32" s="316">
        <f t="shared" ca="1" si="1"/>
        <v>2.9395102016662449</v>
      </c>
      <c r="K32" s="314"/>
      <c r="L32" s="316">
        <f>((D32*DATA!$D$23)/1000000)+((E32*DATA!$D$24)/1000000)</f>
        <v>3.8140079999999998</v>
      </c>
      <c r="M32" s="316">
        <f t="shared" si="2"/>
        <v>3.8140079999999998</v>
      </c>
      <c r="N32" s="316">
        <f t="shared" ca="1" si="6"/>
        <v>0.87449779833375496</v>
      </c>
      <c r="O32" s="315">
        <f>1/(1+'[93]Asumsi I'!$C$3)^(KKF!A32)</f>
        <v>5.8823306552253637E-2</v>
      </c>
      <c r="P32" s="316">
        <f t="shared" ca="1" si="7"/>
        <v>5.144085207065735E-2</v>
      </c>
      <c r="Q32" s="316">
        <f ca="1">Q31+P32</f>
        <v>11.598092263653625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4" t="s">
        <v>1374</v>
      </c>
      <c r="G33" s="604"/>
      <c r="H33" s="604"/>
      <c r="I33" s="324"/>
      <c r="J33" s="325">
        <f ca="1">SUM(J7:J32)</f>
        <v>74.395804663528338</v>
      </c>
      <c r="K33" s="604" t="s">
        <v>1375</v>
      </c>
      <c r="L33" s="604"/>
      <c r="M33" s="325">
        <f>SUM(M7:M32)</f>
        <v>100.99753400000002</v>
      </c>
      <c r="N33" s="323"/>
      <c r="O33" s="323"/>
      <c r="P33" s="326"/>
      <c r="Q33" s="326"/>
      <c r="S33" s="304">
        <f ca="1">COUNTIF(S7:S32,"a")</f>
        <v>0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1.0383669617034612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1.3575702884965617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10.355439521119303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3" priority="1" stopIfTrue="1" operator="greaterThanOrEqual">
      <formula>$F$7</formula>
    </cfRule>
    <cfRule type="cellIs" dxfId="12" priority="2" stopIfTrue="1" operator="lessThan">
      <formula>$F$7</formula>
    </cfRule>
  </conditionalFormatting>
  <conditionalFormatting sqref="Q7:Q32">
    <cfRule type="cellIs" dxfId="11" priority="3" operator="lessThan">
      <formula>0</formula>
    </cfRule>
    <cfRule type="cellIs" dxfId="10" priority="4" operator="lessThan">
      <formula>0</formula>
    </cfRule>
    <cfRule type="cellIs" dxfId="9" priority="5" operator="lessThan">
      <formula>-6395.81</formula>
    </cfRule>
    <cfRule type="cellIs" dxfId="8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60"/>
  <sheetViews>
    <sheetView showGridLines="0" zoomScale="85" zoomScaleNormal="85" zoomScaleSheetLayoutView="70" workbookViewId="0">
      <pane ySplit="13" topLeftCell="A50" activePane="bottomLeft" state="frozen"/>
      <selection activeCell="H1093" sqref="H1093"/>
      <selection pane="bottomLeft" activeCell="I51" sqref="I51:K57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7" customWidth="1"/>
    <col min="4" max="4" width="13.7109375" style="407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07" t="s">
        <v>1036</v>
      </c>
      <c r="P3" s="607"/>
      <c r="Q3" s="346"/>
      <c r="T3" s="344"/>
      <c r="U3" s="345" t="s">
        <v>1041</v>
      </c>
      <c r="V3" s="344"/>
    </row>
    <row r="4" spans="1:22" ht="15.75" customHeight="1">
      <c r="B4" s="608" t="s">
        <v>1023</v>
      </c>
      <c r="C4" s="608"/>
      <c r="D4" s="608"/>
      <c r="E4" s="608"/>
      <c r="F4" s="608"/>
      <c r="G4" s="608"/>
      <c r="H4" s="608"/>
      <c r="I4" s="608"/>
      <c r="J4" s="608"/>
      <c r="K4" s="608"/>
      <c r="O4" s="607"/>
      <c r="P4" s="607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4" t="str">
        <f>DATA!D14</f>
        <v>LAPANGAN TENIS KEMENAG</v>
      </c>
      <c r="H6" s="624"/>
      <c r="I6" s="624"/>
      <c r="J6" s="624"/>
      <c r="K6" s="624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1617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10" t="s">
        <v>0</v>
      </c>
      <c r="C11" s="612" t="s">
        <v>1</v>
      </c>
      <c r="D11" s="615" t="s">
        <v>42</v>
      </c>
      <c r="E11" s="615" t="s">
        <v>43</v>
      </c>
      <c r="F11" s="615" t="s">
        <v>2</v>
      </c>
      <c r="G11" s="617" t="s">
        <v>41</v>
      </c>
      <c r="H11" s="615" t="s">
        <v>3</v>
      </c>
      <c r="I11" s="615"/>
      <c r="J11" s="615"/>
      <c r="K11" s="634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11"/>
      <c r="C12" s="613"/>
      <c r="D12" s="616"/>
      <c r="E12" s="616"/>
      <c r="F12" s="616"/>
      <c r="G12" s="618"/>
      <c r="H12" s="620" t="s">
        <v>46</v>
      </c>
      <c r="I12" s="620" t="s">
        <v>5</v>
      </c>
      <c r="J12" s="616" t="s">
        <v>47</v>
      </c>
      <c r="K12" s="635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11"/>
      <c r="C13" s="614"/>
      <c r="D13" s="616"/>
      <c r="E13" s="616"/>
      <c r="F13" s="616"/>
      <c r="G13" s="619"/>
      <c r="H13" s="621"/>
      <c r="I13" s="621"/>
      <c r="J13" s="616"/>
      <c r="K13" s="635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:H15" ca="1" si="0">IF(OR(D14="MDU",D14="MDU-KD"),(IF($O$3="RAB NON MDU","PLN KD",G14*F14)),0)</f>
        <v>0</v>
      </c>
      <c r="I14" s="361">
        <f t="shared" ref="I14:I15" ca="1" si="1">IF(D14="HDW",G14*F14,0)</f>
        <v>0</v>
      </c>
      <c r="J14" s="361">
        <f t="shared" ref="J14:J15" ca="1" si="2">IF(D14="JASA",G14*F14,0)</f>
        <v>0</v>
      </c>
      <c r="K14" s="362">
        <f t="shared" ref="K14:K15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1606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ca="1" si="0"/>
        <v>0</v>
      </c>
      <c r="I15" s="361">
        <f t="shared" ca="1" si="1"/>
        <v>0</v>
      </c>
      <c r="J15" s="361">
        <f t="shared" ca="1" si="2"/>
        <v>0</v>
      </c>
      <c r="K15" s="362">
        <f t="shared" ca="1" si="3"/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71"/>
      <c r="C16" s="109"/>
      <c r="D16" s="358"/>
      <c r="E16" s="359"/>
      <c r="F16" s="368"/>
      <c r="G16" s="360"/>
      <c r="H16" s="361"/>
      <c r="I16" s="361"/>
      <c r="J16" s="361"/>
      <c r="K16" s="362"/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66" t="s">
        <v>1607</v>
      </c>
      <c r="C17" s="367" t="s">
        <v>1611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68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ref="H17" ca="1" si="4">IF(OR(D17="MDU",D17="MDU-KD"),(IF($O$3="RAB NON MDU","PLN KD",G17*F17)),0)</f>
        <v>0</v>
      </c>
      <c r="I17" s="361">
        <f t="shared" ref="I17" ca="1" si="5">IF(D17="HDW",G17*F17,0)</f>
        <v>0</v>
      </c>
      <c r="J17" s="361">
        <f t="shared" ref="J17" ca="1" si="6">IF(D17="JASA",G17*F17,0)</f>
        <v>0</v>
      </c>
      <c r="K17" s="362">
        <f t="shared" ref="K17" ca="1" si="7">SUM(H17:J17)</f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>
      <c r="B18" s="492"/>
      <c r="C18" s="495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68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ref="H18:H19" ca="1" si="8">IF(OR(D18="MDU",D18="MDU-KD"),(IF($O$3="RAB NON MDU","PLN KD",G18*F18)),0)</f>
        <v>0</v>
      </c>
      <c r="I18" s="361">
        <f t="shared" ref="I18:I19" ca="1" si="9">IF(D18="HDW",G18*F18,0)</f>
        <v>0</v>
      </c>
      <c r="J18" s="361">
        <f t="shared" ref="J18:J19" ca="1" si="10">IF(D18="JASA",G18*F18,0)</f>
        <v>0</v>
      </c>
      <c r="K18" s="362">
        <f t="shared" ref="K18:K19" ca="1" si="11">SUM(H18:J18)</f>
        <v>0</v>
      </c>
    </row>
    <row r="19" spans="1:22">
      <c r="B19" s="493" t="s">
        <v>1608</v>
      </c>
      <c r="C19" s="496" t="s">
        <v>1610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368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8"/>
        <v>0</v>
      </c>
      <c r="I19" s="361">
        <f t="shared" ca="1" si="9"/>
        <v>0</v>
      </c>
      <c r="J19" s="361">
        <f t="shared" ca="1" si="10"/>
        <v>0</v>
      </c>
      <c r="K19" s="362">
        <f t="shared" ca="1" si="11"/>
        <v>0</v>
      </c>
    </row>
    <row r="20" spans="1:22">
      <c r="B20" s="493" t="s">
        <v>1035</v>
      </c>
      <c r="C20" s="494" t="s">
        <v>1616</v>
      </c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>Unit</v>
      </c>
      <c r="F20" s="507">
        <v>1</v>
      </c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ref="H20:H25" ca="1" si="12">IF(OR(D20="MDU",D20="MDU-KD"),(IF($O$3="RAB NON MDU","PLN KD",G20*F20)),0)</f>
        <v>0</v>
      </c>
      <c r="I20" s="361">
        <f t="shared" ref="I20:I25" ca="1" si="13">IF(D20="HDW",G20*F20,0)</f>
        <v>0</v>
      </c>
      <c r="J20" s="361">
        <f t="shared" ref="J20:J25" ca="1" si="14">IF(D20="JASA",G20*F20,0)</f>
        <v>0</v>
      </c>
      <c r="K20" s="362">
        <f t="shared" ref="K20:K25" ca="1" si="15">SUM(H20:J20)</f>
        <v>0</v>
      </c>
    </row>
    <row r="21" spans="1:22" ht="30">
      <c r="B21" s="505">
        <v>1</v>
      </c>
      <c r="C21" s="109" t="s">
        <v>1141</v>
      </c>
      <c r="D21" s="358" t="s">
        <v>1612</v>
      </c>
      <c r="E21" s="359" t="str">
        <f ca="1">IF(B21="+","Unit",IF(ISERROR(OFFSET('HARGA SATUAN'!$E$6,MATCH(RAB!C21,'HARGA SATUAN'!$C$7:$C$1492,0),0)),"",OFFSET('HARGA SATUAN'!$E$6,MATCH(RAB!C21,'HARGA SATUAN'!$C$7:$C$1492,0),0)))</f>
        <v>Bh</v>
      </c>
      <c r="F21" s="507">
        <f>F20*1</f>
        <v>1</v>
      </c>
      <c r="G21" s="360">
        <f ca="1">IF(ISERROR(OFFSET('HARGA SATUAN'!$I$6,MATCH(RAB!C21,'HARGA SATUAN'!$C$7:$C$1492,0),0)),0,OFFSET('HARGA SATUAN'!$I$6,MATCH(RAB!C21,'HARGA SATUAN'!$C$7:$C$1492,0),0))</f>
        <v>1740750</v>
      </c>
      <c r="H21" s="361">
        <f t="shared" si="12"/>
        <v>0</v>
      </c>
      <c r="I21" s="361">
        <f t="shared" si="13"/>
        <v>0</v>
      </c>
      <c r="J21" s="361">
        <f t="shared" si="14"/>
        <v>0</v>
      </c>
      <c r="K21" s="362">
        <f t="shared" si="15"/>
        <v>0</v>
      </c>
    </row>
    <row r="22" spans="1:22">
      <c r="B22" s="505">
        <v>2</v>
      </c>
      <c r="C22" s="508" t="s">
        <v>493</v>
      </c>
      <c r="D22" s="358" t="str">
        <f ca="1">IF(ISERROR(OFFSET('HARGA SATUAN'!$D$6,MATCH(RAB!C22,'HARGA SATUAN'!$C$7:$C$1492,0),0)),"",OFFSET('HARGA SATUAN'!$D$6,MATCH(RAB!C22,'HARGA SATUAN'!$C$7:$C$1492,0),0))</f>
        <v>MDU-KD</v>
      </c>
      <c r="E22" s="359" t="str">
        <f ca="1">IF(B22="+","Unit",IF(ISERROR(OFFSET('HARGA SATUAN'!$E$6,MATCH(RAB!C22,'HARGA SATUAN'!$C$7:$C$1492,0),0)),"",OFFSET('HARGA SATUAN'!$E$6,MATCH(RAB!C22,'HARGA SATUAN'!$C$7:$C$1492,0),0)))</f>
        <v>Bh</v>
      </c>
      <c r="F22" s="507">
        <f>F20*1</f>
        <v>1</v>
      </c>
      <c r="G22" s="360">
        <f ca="1">IF(ISERROR(OFFSET('HARGA SATUAN'!$I$6,MATCH(RAB!C22,'HARGA SATUAN'!$C$7:$C$1492,0),0)),0,OFFSET('HARGA SATUAN'!$I$6,MATCH(RAB!C22,'HARGA SATUAN'!$C$7:$C$1492,0),0))</f>
        <v>39000</v>
      </c>
      <c r="H22" s="361">
        <f t="shared" ca="1" si="12"/>
        <v>39000</v>
      </c>
      <c r="I22" s="361">
        <f t="shared" ca="1" si="13"/>
        <v>0</v>
      </c>
      <c r="J22" s="361">
        <f t="shared" ca="1" si="14"/>
        <v>0</v>
      </c>
      <c r="K22" s="362">
        <f t="shared" ca="1" si="15"/>
        <v>39000</v>
      </c>
    </row>
    <row r="23" spans="1:22">
      <c r="B23" s="505">
        <v>3</v>
      </c>
      <c r="C23" s="506" t="s">
        <v>50</v>
      </c>
      <c r="D23" s="358" t="s">
        <v>1612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507">
        <f>F20*1</f>
        <v>1</v>
      </c>
      <c r="G23" s="360">
        <f ca="1">IF(ISERROR(OFFSET('HARGA SATUAN'!$I$6,MATCH(RAB!C23,'HARGA SATUAN'!$C$7:$C$1492,0),0)),0,OFFSET('HARGA SATUAN'!$I$6,MATCH(RAB!C23,'HARGA SATUAN'!$C$7:$C$1492,0),0))</f>
        <v>259574.27222222224</v>
      </c>
      <c r="H23" s="361">
        <f t="shared" si="12"/>
        <v>0</v>
      </c>
      <c r="I23" s="361">
        <f t="shared" si="13"/>
        <v>0</v>
      </c>
      <c r="J23" s="361">
        <f t="shared" si="14"/>
        <v>0</v>
      </c>
      <c r="K23" s="362">
        <f t="shared" si="15"/>
        <v>0</v>
      </c>
    </row>
    <row r="24" spans="1:22">
      <c r="B24" s="505">
        <v>4</v>
      </c>
      <c r="C24" s="506" t="s">
        <v>75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Mtr</v>
      </c>
      <c r="F24" s="507">
        <f>F20*35</f>
        <v>35</v>
      </c>
      <c r="G24" s="360">
        <f ca="1">IF(ISERROR(OFFSET('HARGA SATUAN'!$I$6,MATCH(RAB!C24,'HARGA SATUAN'!$C$7:$C$1492,0),0)),0,OFFSET('HARGA SATUAN'!$I$6,MATCH(RAB!C24,'HARGA SATUAN'!$C$7:$C$1492,0),0))</f>
        <v>8900</v>
      </c>
      <c r="H24" s="361">
        <f t="shared" ca="1" si="12"/>
        <v>0</v>
      </c>
      <c r="I24" s="361">
        <f t="shared" ca="1" si="13"/>
        <v>311500</v>
      </c>
      <c r="J24" s="361">
        <f t="shared" ca="1" si="14"/>
        <v>0</v>
      </c>
      <c r="K24" s="362">
        <f t="shared" ca="1" si="15"/>
        <v>311500</v>
      </c>
    </row>
    <row r="25" spans="1:22">
      <c r="B25" s="505">
        <v>5</v>
      </c>
      <c r="C25" s="506" t="s">
        <v>798</v>
      </c>
      <c r="D25" s="358" t="str">
        <f ca="1">IF(ISERROR(OFFSET('HARGA SATUAN'!$D$6,MATCH(RAB!C25,'HARGA SATUAN'!$C$7:$C$1492,0),0)),"",OFFSET('HARGA SATUAN'!$D$6,MATCH(RAB!C25,'HARGA SATUAN'!$C$7:$C$1492,0),0))</f>
        <v>JASA</v>
      </c>
      <c r="E25" s="359" t="str">
        <f ca="1">IF(B25="+","Unit",IF(ISERROR(OFFSET('HARGA SATUAN'!$E$6,MATCH(RAB!C25,'HARGA SATUAN'!$C$7:$C$1492,0),0)),"",OFFSET('HARGA SATUAN'!$E$6,MATCH(RAB!C25,'HARGA SATUAN'!$C$7:$C$1492,0),0)))</f>
        <v>Unit</v>
      </c>
      <c r="F25" s="507">
        <f>F20*1</f>
        <v>1</v>
      </c>
      <c r="G25" s="360">
        <f ca="1">IF(ISERROR(OFFSET('HARGA SATUAN'!$I$6,MATCH(RAB!C25,'HARGA SATUAN'!$C$7:$C$1492,0),0)),0,OFFSET('HARGA SATUAN'!$I$6,MATCH(RAB!C25,'HARGA SATUAN'!$C$7:$C$1492,0),0))</f>
        <v>54400</v>
      </c>
      <c r="H25" s="361">
        <f t="shared" ca="1" si="12"/>
        <v>0</v>
      </c>
      <c r="I25" s="361">
        <f t="shared" ca="1" si="13"/>
        <v>0</v>
      </c>
      <c r="J25" s="361">
        <f t="shared" ca="1" si="14"/>
        <v>54400</v>
      </c>
      <c r="K25" s="362">
        <f t="shared" ca="1" si="15"/>
        <v>54400</v>
      </c>
    </row>
    <row r="26" spans="1:22">
      <c r="B26" s="505">
        <v>6</v>
      </c>
      <c r="C26" s="506" t="s">
        <v>981</v>
      </c>
      <c r="D26" s="358" t="str">
        <f ca="1">IF(ISERROR(OFFSET('HARGA SATUAN'!$D$6,MATCH(RAB!C26,'HARGA SATUAN'!$C$7:$C$1492,0),0)),"",OFFSET('HARGA SATUAN'!$D$6,MATCH(RAB!C26,'HARGA SATUAN'!$C$7:$C$1492,0),0))</f>
        <v>JASA</v>
      </c>
      <c r="E26" s="359" t="str">
        <f ca="1">IF(B26="+","Unit",IF(ISERROR(OFFSET('HARGA SATUAN'!$E$6,MATCH(RAB!C26,'HARGA SATUAN'!$C$7:$C$1492,0),0)),"",OFFSET('HARGA SATUAN'!$E$6,MATCH(RAB!C26,'HARGA SATUAN'!$C$7:$C$1492,0),0)))</f>
        <v>Unit</v>
      </c>
      <c r="F26" s="507">
        <v>1</v>
      </c>
      <c r="G26" s="360">
        <f ca="1">IF(ISERROR(OFFSET('HARGA SATUAN'!$I$6,MATCH(RAB!C26,'HARGA SATUAN'!$C$7:$C$1492,0),0)),0,OFFSET('HARGA SATUAN'!$I$6,MATCH(RAB!C26,'HARGA SATUAN'!$C$7:$C$1492,0),0))</f>
        <v>32640</v>
      </c>
      <c r="H26" s="361">
        <f t="shared" ref="H26:H27" ca="1" si="16">IF(OR(D26="MDU",D26="MDU-KD"),(IF($O$3="RAB NON MDU","PLN KD",G26*F26)),0)</f>
        <v>0</v>
      </c>
      <c r="I26" s="361">
        <f t="shared" ref="I26:I27" ca="1" si="17">IF(D26="HDW",G26*F26,0)</f>
        <v>0</v>
      </c>
      <c r="J26" s="361">
        <f t="shared" ref="J26:J27" ca="1" si="18">IF(D26="JASA",G26*F26,0)</f>
        <v>32640</v>
      </c>
      <c r="K26" s="362">
        <f t="shared" ref="K26:K27" ca="1" si="19">SUM(H26:J26)</f>
        <v>32640</v>
      </c>
    </row>
    <row r="27" spans="1:22">
      <c r="B27" s="503"/>
      <c r="C27" s="504"/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/>
      </c>
      <c r="F27" s="368"/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ca="1" si="16"/>
        <v>0</v>
      </c>
      <c r="I27" s="361">
        <f t="shared" ca="1" si="17"/>
        <v>0</v>
      </c>
      <c r="J27" s="361">
        <f t="shared" ca="1" si="18"/>
        <v>0</v>
      </c>
      <c r="K27" s="362">
        <f t="shared" ca="1" si="19"/>
        <v>0</v>
      </c>
    </row>
    <row r="28" spans="1:22">
      <c r="B28" s="500" t="s">
        <v>1035</v>
      </c>
      <c r="C28" s="499" t="s">
        <v>1614</v>
      </c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501">
        <f>F20</f>
        <v>1</v>
      </c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ref="H28:H31" ca="1" si="20">IF(OR(D28="MDU",D28="MDU-KD"),(IF($O$3="RAB NON MDU","PLN KD",G28*F28)),0)</f>
        <v>0</v>
      </c>
      <c r="I28" s="361">
        <f t="shared" ref="I28:I31" ca="1" si="21">IF(D28="HDW",G28*F28,0)</f>
        <v>0</v>
      </c>
      <c r="J28" s="361">
        <f t="shared" ref="J28:J31" ca="1" si="22">IF(D28="JASA",G28*F28,0)</f>
        <v>0</v>
      </c>
      <c r="K28" s="362">
        <f t="shared" ref="K28:K31" ca="1" si="23">SUM(H28:J28)</f>
        <v>0</v>
      </c>
    </row>
    <row r="29" spans="1:22">
      <c r="B29" s="500">
        <v>1</v>
      </c>
      <c r="C29" s="499" t="s">
        <v>115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Set</v>
      </c>
      <c r="F29" s="501">
        <f>F28*1</f>
        <v>1</v>
      </c>
      <c r="G29" s="360">
        <f ca="1">IF(ISERROR(OFFSET('HARGA SATUAN'!$I$6,MATCH(RAB!C29,'HARGA SATUAN'!$C$7:$C$1492,0),0)),0,OFFSET('HARGA SATUAN'!$I$6,MATCH(RAB!C29,'HARGA SATUAN'!$C$7:$C$1492,0),0))</f>
        <v>11500</v>
      </c>
      <c r="H29" s="361">
        <f t="shared" ca="1" si="20"/>
        <v>0</v>
      </c>
      <c r="I29" s="361">
        <f t="shared" ca="1" si="21"/>
        <v>11500</v>
      </c>
      <c r="J29" s="361">
        <f t="shared" ca="1" si="22"/>
        <v>0</v>
      </c>
      <c r="K29" s="362">
        <f t="shared" ca="1" si="23"/>
        <v>11500</v>
      </c>
    </row>
    <row r="30" spans="1:22">
      <c r="B30" s="500">
        <v>2</v>
      </c>
      <c r="C30" s="499" t="s">
        <v>145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Set</v>
      </c>
      <c r="F30" s="501">
        <f>F28*1</f>
        <v>1</v>
      </c>
      <c r="G30" s="360">
        <f ca="1">IF(ISERROR(OFFSET('HARGA SATUAN'!$I$6,MATCH(RAB!C30,'HARGA SATUAN'!$C$7:$C$1492,0),0)),0,OFFSET('HARGA SATUAN'!$I$6,MATCH(RAB!C30,'HARGA SATUAN'!$C$7:$C$1492,0),0))</f>
        <v>6200</v>
      </c>
      <c r="H30" s="361">
        <f t="shared" ca="1" si="20"/>
        <v>0</v>
      </c>
      <c r="I30" s="361">
        <f t="shared" ca="1" si="21"/>
        <v>6200</v>
      </c>
      <c r="J30" s="361">
        <f t="shared" ca="1" si="22"/>
        <v>0</v>
      </c>
      <c r="K30" s="362">
        <f t="shared" ca="1" si="23"/>
        <v>6200</v>
      </c>
    </row>
    <row r="31" spans="1:22">
      <c r="B31" s="500">
        <v>3</v>
      </c>
      <c r="C31" s="499" t="s">
        <v>587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Btg</v>
      </c>
      <c r="F31" s="501">
        <f>F28*1</f>
        <v>1</v>
      </c>
      <c r="G31" s="360">
        <f ca="1">IF(ISERROR(OFFSET('HARGA SATUAN'!$I$6,MATCH(RAB!C31,'HARGA SATUAN'!$C$7:$C$1492,0),0)),0,OFFSET('HARGA SATUAN'!$I$6,MATCH(RAB!C31,'HARGA SATUAN'!$C$7:$C$1492,0),0))</f>
        <v>45796</v>
      </c>
      <c r="H31" s="361">
        <f t="shared" ca="1" si="20"/>
        <v>0</v>
      </c>
      <c r="I31" s="361">
        <f t="shared" ca="1" si="21"/>
        <v>45796</v>
      </c>
      <c r="J31" s="361">
        <f t="shared" ca="1" si="22"/>
        <v>0</v>
      </c>
      <c r="K31" s="362">
        <f t="shared" ca="1" si="23"/>
        <v>45796</v>
      </c>
    </row>
    <row r="32" spans="1:22">
      <c r="B32" s="500">
        <v>4</v>
      </c>
      <c r="C32" s="499" t="s">
        <v>118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Set</v>
      </c>
      <c r="F32" s="501">
        <f>F28*1</f>
        <v>1</v>
      </c>
      <c r="G32" s="360">
        <f ca="1">IF(ISERROR(OFFSET('HARGA SATUAN'!$I$6,MATCH(RAB!C32,'HARGA SATUAN'!$C$7:$C$1492,0),0)),0,OFFSET('HARGA SATUAN'!$I$6,MATCH(RAB!C32,'HARGA SATUAN'!$C$7:$C$1492,0),0))</f>
        <v>5300</v>
      </c>
      <c r="H32" s="361">
        <f t="shared" ref="H32:H38" ca="1" si="24">IF(OR(D32="MDU",D32="MDU-KD"),(IF($O$3="RAB NON MDU","PLN KD",G32*F32)),0)</f>
        <v>0</v>
      </c>
      <c r="I32" s="361">
        <f t="shared" ref="I32:I38" ca="1" si="25">IF(D32="HDW",G32*F32,0)</f>
        <v>5300</v>
      </c>
      <c r="J32" s="361">
        <f t="shared" ref="J32:J38" ca="1" si="26">IF(D32="JASA",G32*F32,0)</f>
        <v>0</v>
      </c>
      <c r="K32" s="362">
        <f t="shared" ref="K32:K38" ca="1" si="27">SUM(H32:J32)</f>
        <v>5300</v>
      </c>
    </row>
    <row r="33" spans="2:13">
      <c r="B33" s="500">
        <v>5</v>
      </c>
      <c r="C33" s="499" t="s">
        <v>117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1">
        <f>F28*1</f>
        <v>1</v>
      </c>
      <c r="G33" s="360">
        <f ca="1">IF(ISERROR(OFFSET('HARGA SATUAN'!$I$6,MATCH(RAB!C33,'HARGA SATUAN'!$C$7:$C$1492,0),0)),0,OFFSET('HARGA SATUAN'!$I$6,MATCH(RAB!C33,'HARGA SATUAN'!$C$7:$C$1492,0),0))</f>
        <v>58600</v>
      </c>
      <c r="H33" s="361">
        <f t="shared" ca="1" si="24"/>
        <v>0</v>
      </c>
      <c r="I33" s="361">
        <f t="shared" ca="1" si="25"/>
        <v>58600</v>
      </c>
      <c r="J33" s="361">
        <f t="shared" ca="1" si="26"/>
        <v>0</v>
      </c>
      <c r="K33" s="362">
        <f t="shared" ca="1" si="27"/>
        <v>58600</v>
      </c>
    </row>
    <row r="34" spans="2:13">
      <c r="B34" s="500">
        <v>6</v>
      </c>
      <c r="C34" s="109" t="s">
        <v>1154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Set</v>
      </c>
      <c r="F34" s="501">
        <f>F28*1</f>
        <v>1</v>
      </c>
      <c r="G34" s="360">
        <f ca="1">IF(ISERROR(OFFSET('HARGA SATUAN'!$I$6,MATCH(RAB!C34,'HARGA SATUAN'!$C$7:$C$1492,0),0)),0,OFFSET('HARGA SATUAN'!$I$6,MATCH(RAB!C34,'HARGA SATUAN'!$C$7:$C$1492,0),0))</f>
        <v>3888</v>
      </c>
      <c r="H34" s="361">
        <f t="shared" ca="1" si="24"/>
        <v>0</v>
      </c>
      <c r="I34" s="361">
        <f t="shared" ca="1" si="25"/>
        <v>3888</v>
      </c>
      <c r="J34" s="361">
        <f t="shared" ca="1" si="26"/>
        <v>0</v>
      </c>
      <c r="K34" s="362">
        <f t="shared" ca="1" si="27"/>
        <v>3888</v>
      </c>
    </row>
    <row r="35" spans="2:13">
      <c r="B35" s="500">
        <v>7</v>
      </c>
      <c r="C35" s="499" t="s">
        <v>119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Set</v>
      </c>
      <c r="F35" s="501">
        <f>F28*2</f>
        <v>2</v>
      </c>
      <c r="G35" s="360">
        <f ca="1">IF(ISERROR(OFFSET('HARGA SATUAN'!$I$6,MATCH(RAB!C35,'HARGA SATUAN'!$C$7:$C$1492,0),0)),0,OFFSET('HARGA SATUAN'!$I$6,MATCH(RAB!C35,'HARGA SATUAN'!$C$7:$C$1492,0),0))</f>
        <v>8900</v>
      </c>
      <c r="H35" s="361">
        <f t="shared" ca="1" si="24"/>
        <v>0</v>
      </c>
      <c r="I35" s="361">
        <f t="shared" ca="1" si="25"/>
        <v>17800</v>
      </c>
      <c r="J35" s="361">
        <f t="shared" ca="1" si="26"/>
        <v>0</v>
      </c>
      <c r="K35" s="362">
        <f t="shared" ca="1" si="27"/>
        <v>17800</v>
      </c>
    </row>
    <row r="36" spans="2:13">
      <c r="B36" s="497"/>
      <c r="C36" s="498"/>
      <c r="D36" s="358" t="str">
        <f ca="1">IF(ISERROR(OFFSET('HARGA SATUAN'!$D$6,MATCH(RAB!C36,'HARGA SATUAN'!$C$7:$C$1492,0),0)),"",OFFSET('HARGA SATUAN'!$D$6,MATCH(RAB!C36,'HARGA SATUAN'!$C$7:$C$1492,0),0))</f>
        <v/>
      </c>
      <c r="E36" s="359" t="str">
        <f ca="1">IF(B36="+","Unit",IF(ISERROR(OFFSET('HARGA SATUAN'!$E$6,MATCH(RAB!C36,'HARGA SATUAN'!$C$7:$C$1492,0),0)),"",OFFSET('HARGA SATUAN'!$E$6,MATCH(RAB!C36,'HARGA SATUAN'!$C$7:$C$1492,0),0)))</f>
        <v/>
      </c>
      <c r="F36" s="368"/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ca="1" si="24"/>
        <v>0</v>
      </c>
      <c r="I36" s="361">
        <f t="shared" ca="1" si="25"/>
        <v>0</v>
      </c>
      <c r="J36" s="361">
        <f t="shared" ca="1" si="26"/>
        <v>0</v>
      </c>
      <c r="K36" s="362">
        <f t="shared" ca="1" si="27"/>
        <v>0</v>
      </c>
    </row>
    <row r="37" spans="2:13">
      <c r="B37" s="366" t="s">
        <v>22</v>
      </c>
      <c r="C37" s="367" t="s">
        <v>1609</v>
      </c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/>
      </c>
      <c r="F37" s="368"/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ca="1" si="24"/>
        <v>0</v>
      </c>
      <c r="I37" s="361">
        <f t="shared" ca="1" si="25"/>
        <v>0</v>
      </c>
      <c r="J37" s="361">
        <f t="shared" ca="1" si="26"/>
        <v>0</v>
      </c>
      <c r="K37" s="362">
        <f t="shared" ca="1" si="27"/>
        <v>0</v>
      </c>
    </row>
    <row r="38" spans="2:13">
      <c r="B38" s="373"/>
      <c r="C38" s="372"/>
      <c r="D38" s="358" t="str">
        <f ca="1">IF(ISERROR(OFFSET('HARGA SATUAN'!$D$6,MATCH(RAB!C38,'HARGA SATUAN'!$C$7:$C$1492,0),0)),"",OFFSET('HARGA SATUAN'!$D$6,MATCH(RAB!C38,'HARGA SATUAN'!$C$7:$C$1492,0),0))</f>
        <v/>
      </c>
      <c r="E38" s="359" t="str">
        <f ca="1">IF(B38="+","Unit",IF(ISERROR(OFFSET('HARGA SATUAN'!$E$6,MATCH(RAB!C38,'HARGA SATUAN'!$C$7:$C$1492,0),0)),"",OFFSET('HARGA SATUAN'!$E$6,MATCH(RAB!C38,'HARGA SATUAN'!$C$7:$C$1492,0),0)))</f>
        <v/>
      </c>
      <c r="F38" s="368"/>
      <c r="G38" s="360">
        <f ca="1">IF(ISERROR(OFFSET('HARGA SATUAN'!$I$6,MATCH(RAB!C38,'HARGA SATUAN'!$C$7:$C$1492,0),0)),0,OFFSET('HARGA SATUAN'!$I$6,MATCH(RAB!C38,'HARGA SATUAN'!$C$7:$C$1492,0),0))</f>
        <v>0</v>
      </c>
      <c r="H38" s="361">
        <f t="shared" ca="1" si="24"/>
        <v>0</v>
      </c>
      <c r="I38" s="361">
        <f t="shared" ca="1" si="25"/>
        <v>0</v>
      </c>
      <c r="J38" s="361">
        <f t="shared" ca="1" si="26"/>
        <v>0</v>
      </c>
      <c r="K38" s="362">
        <f t="shared" ca="1" si="27"/>
        <v>0</v>
      </c>
    </row>
    <row r="39" spans="2:13">
      <c r="B39" s="374"/>
      <c r="C39" s="375" t="s">
        <v>475</v>
      </c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368"/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ref="H39" ca="1" si="28">IF(OR(D39="MDU",D39="MDU-KD"),(IF($O$3="RAB NON MDU","PLN KD",G39*F39)),0)</f>
        <v>0</v>
      </c>
      <c r="I39" s="361">
        <f t="shared" ref="I39" ca="1" si="29">IF(D39="HDW",G39*F39,0)</f>
        <v>0</v>
      </c>
      <c r="J39" s="361">
        <f t="shared" ref="J39" ca="1" si="30">IF(D39="JASA",G39*F39,0)</f>
        <v>0</v>
      </c>
      <c r="K39" s="362">
        <f t="shared" ref="K39" ca="1" si="31">SUM(H39:J39)</f>
        <v>0</v>
      </c>
    </row>
    <row r="40" spans="2:13">
      <c r="B40" s="377">
        <v>1</v>
      </c>
      <c r="C40" s="378" t="s">
        <v>1091</v>
      </c>
      <c r="D40" s="379" t="str">
        <f ca="1">IF(ISERROR(OFFSET('HARGA SATUAN'!$D$6,MATCH(RAB!C40,'HARGA SATUAN'!$C$7:$C$1492,0),0)),"",OFFSET('HARGA SATUAN'!$D$6,MATCH(RAB!C40,'HARGA SATUAN'!$C$7:$C$1492,0),0))</f>
        <v>JASA</v>
      </c>
      <c r="E40" s="380" t="str">
        <f ca="1">IF(ISERROR(OFFSET('HARGA SATUAN'!$E$6,MATCH(RAB!C40,'HARGA SATUAN'!$C$7:$C$1492,0),0)),"",OFFSET('HARGA SATUAN'!$E$6,MATCH(RAB!C40,'HARGA SATUAN'!$C$7:$C$1492,0),0))</f>
        <v>Lot</v>
      </c>
      <c r="F40" s="381">
        <v>1</v>
      </c>
      <c r="G40" s="382">
        <f ca="1">IF(ISERROR(OFFSET('HARGA SATUAN'!$I$6,MATCH(RAB!C40,'HARGA SATUAN'!$C$7:$C$1492,0),0)),0,OFFSET('HARGA SATUAN'!$I$6,MATCH(RAB!C40,'HARGA SATUAN'!$C$7:$C$1492,0),0))</f>
        <v>2.5000000000000001E-2</v>
      </c>
      <c r="H40" s="383"/>
      <c r="I40" s="383"/>
      <c r="J40" s="383">
        <f ca="1">SUM(K15:K17)*G40</f>
        <v>0</v>
      </c>
      <c r="K40" s="384">
        <f ca="1">SUM(H40:J40)</f>
        <v>0</v>
      </c>
    </row>
    <row r="41" spans="2:13">
      <c r="B41" s="385"/>
      <c r="C41" s="386"/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IF(ISERROR(OFFSET('HARGA SATUAN'!$E$6,MATCH(RAB!C41,'HARGA SATUAN'!$C$7:$C$1492,0),0)),"",OFFSET('HARGA SATUAN'!$E$6,MATCH(RAB!C41,'HARGA SATUAN'!$C$7:$C$1492,0),0))</f>
        <v/>
      </c>
      <c r="F41" s="376"/>
      <c r="G41" s="360" t="str">
        <f ca="1">IF(ISERROR(OFFSET('HARGA SATUAN'!$I$6,MATCH(RAB!C41,'HARGA SATUAN'!$C$7:$C$1492,0),0)),"",OFFSET('HARGA SATUAN'!$I$6,MATCH(RAB!C41,'HARGA SATUAN'!$C$7:$C$1492,0),0))</f>
        <v/>
      </c>
      <c r="H41" s="361">
        <f ca="1">IF(OR(D41="MDU",D41="MDU-KD"),IF(G41="PLN",0,G41*F41),0)</f>
        <v>0</v>
      </c>
      <c r="I41" s="361">
        <f ca="1">IF(D41="HDW",IF(G41="PLN",0,G41*F41),0)</f>
        <v>0</v>
      </c>
      <c r="J41" s="361">
        <f ca="1">IF(D41="JASA",IF(G41="PLN",0,G41*F41),0)</f>
        <v>0</v>
      </c>
      <c r="K41" s="362">
        <f ca="1">SUM(H41:J41)</f>
        <v>0</v>
      </c>
    </row>
    <row r="42" spans="2:13" ht="15.75" thickBot="1">
      <c r="B42" s="387"/>
      <c r="C42" s="388"/>
      <c r="D42" s="389"/>
      <c r="E42" s="390"/>
      <c r="F42" s="390"/>
      <c r="G42" s="390"/>
      <c r="H42" s="391"/>
      <c r="I42" s="391"/>
      <c r="J42" s="391"/>
      <c r="K42" s="392"/>
    </row>
    <row r="43" spans="2:13">
      <c r="B43" s="393"/>
      <c r="C43" s="609" t="s">
        <v>1008</v>
      </c>
      <c r="D43" s="609"/>
      <c r="E43" s="609"/>
      <c r="F43" s="609"/>
      <c r="G43" s="394" t="s">
        <v>9</v>
      </c>
      <c r="H43" s="395">
        <f ca="1">SUM(H14:H41)</f>
        <v>39000</v>
      </c>
      <c r="I43" s="395">
        <f ca="1">SUM(I14:I41)</f>
        <v>460584</v>
      </c>
      <c r="J43" s="395">
        <f ca="1">SUM(J14:J41)</f>
        <v>87040</v>
      </c>
      <c r="K43" s="395">
        <f ca="1">SUM(K14:K41)</f>
        <v>586624</v>
      </c>
    </row>
    <row r="44" spans="2:13">
      <c r="B44" s="396"/>
      <c r="C44" s="625" t="s">
        <v>1457</v>
      </c>
      <c r="D44" s="625"/>
      <c r="E44" s="625"/>
      <c r="F44" s="625"/>
      <c r="G44" s="397" t="s">
        <v>9</v>
      </c>
      <c r="H44" s="398">
        <f ca="1">H43*0.11</f>
        <v>4290</v>
      </c>
      <c r="I44" s="398">
        <f ca="1">I43*0.11</f>
        <v>50664.24</v>
      </c>
      <c r="J44" s="398">
        <f ca="1">J43*0.11</f>
        <v>9574.4</v>
      </c>
      <c r="K44" s="398">
        <f ca="1">K43*0.11</f>
        <v>64528.639999999999</v>
      </c>
    </row>
    <row r="45" spans="2:13" ht="15.75" thickBot="1">
      <c r="B45" s="396"/>
      <c r="C45" s="623" t="s">
        <v>463</v>
      </c>
      <c r="D45" s="623"/>
      <c r="E45" s="623"/>
      <c r="F45" s="623"/>
      <c r="G45" s="399" t="s">
        <v>9</v>
      </c>
      <c r="H45" s="400">
        <f ca="1">SUM(H43:H44)</f>
        <v>43290</v>
      </c>
      <c r="I45" s="400">
        <f ca="1">SUM(I43:I44)</f>
        <v>511248.24</v>
      </c>
      <c r="J45" s="399">
        <f ca="1">SUM(J43:J44)</f>
        <v>96614.399999999994</v>
      </c>
      <c r="K45" s="399">
        <f ca="1">SUM(K43:K44)</f>
        <v>651152.64000000001</v>
      </c>
      <c r="M45" s="482"/>
    </row>
    <row r="46" spans="2:13">
      <c r="B46" s="626" t="str">
        <f ca="1">"Terbilang : "&amp;PROPER(IF(K45=0,"nol",IF(K45&lt;0,"minus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IF(--MID(TEXT(ABS(K45),"000000000000000"),1,3)=0,"",MID(TEXT(ABS(K45),"000000000000000"),1,1)&amp;" ratus "&amp;MID(TEXT(ABS(K45),"000000000000000"),2,1)&amp;" puluh "&amp;MID(TEXT(ABS(K45),"000000000000000"),3,1)&amp;" trilyun ")&amp; IF(--MID(TEXT(ABS(K45),"000000000000000"),4,3)=0,"",MID(TEXT(ABS(K45),"000000000000000"),4,1)&amp;" ratus "&amp;MID(TEXT(ABS(K45),"000000000000000"),5,1)&amp;" puluh "&amp;MID(TEXT(ABS(K45),"000000000000000"),6,1)&amp;" milyar ")&amp; IF(--MID(TEXT(ABS(K45),"000000000000000"),7,3)=0,"",MID(TEXT(ABS(K45),"000000000000000"),7,1)&amp;" ratus "&amp;MID(TEXT(ABS(K45),"000000000000000"),8,1)&amp;" puluh "&amp;MID(TEXT(ABS(K45),"000000000000000"),9,1)&amp;" juta ")&amp; IF(--MID(TEXT(ABS(K45),"000000000000000"),10,3)=0,"",IF(--MID(TEXT(ABS(K45),"000000000000000"),10,3)=1,"*",MID(TEXT(ABS(K45),"000000000000000"),10,1)&amp;" ratus "&amp;MID(TEXT(ABS(K45),"000000000000000"),11,1)&amp;" puluh ")&amp;MID(TEXT(ABS(K45),"000000000000000"),12,1)&amp;" ribu ")&amp; IF(--MID(TEXT(ABS(K45),"000000000000000"),13,3)=0,"",MID(TEXT(ABS(K45),"000000000000000"),13,1)&amp;" ratus "&amp;MID(TEXT(ABS(K45),"000000000000000"),14,1)&amp;" puluh "&amp;MID(TEXT(ABS(K45),"000000000000000"),15,1)),1,"satu"),2,"dua"),3,"tiga"),4,"empat"),5,"lima"),6,"enam"),7,"tujuh"),8,"delapan"),9,"sembilan"),"0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Enam Ratus Lima Puluh Satu Ribu Seratus Lima Puluh Tiga Rupiah</v>
      </c>
      <c r="C46" s="627"/>
      <c r="D46" s="627"/>
      <c r="E46" s="627"/>
      <c r="F46" s="627"/>
      <c r="G46" s="627"/>
      <c r="H46" s="627"/>
      <c r="I46" s="627"/>
      <c r="J46" s="627"/>
      <c r="K46" s="628"/>
    </row>
    <row r="47" spans="2:13">
      <c r="B47" s="629"/>
      <c r="C47" s="630"/>
      <c r="D47" s="630"/>
      <c r="E47" s="630"/>
      <c r="F47" s="630"/>
      <c r="G47" s="630"/>
      <c r="H47" s="630"/>
      <c r="I47" s="630"/>
      <c r="J47" s="630"/>
      <c r="K47" s="631"/>
    </row>
    <row r="48" spans="2:13" ht="15.75" thickBot="1">
      <c r="B48" s="401" t="str">
        <f>"Harga yang dipakai adalah "&amp;'HARGA SATUAN'!I5&amp;""</f>
        <v>Harga yang dipakai adalah RAB HSS 2023</v>
      </c>
      <c r="C48" s="402"/>
      <c r="D48" s="403"/>
      <c r="E48" s="403"/>
      <c r="F48" s="403"/>
      <c r="G48" s="404"/>
      <c r="H48" s="404"/>
      <c r="I48" s="404"/>
      <c r="J48" s="404"/>
      <c r="K48" s="405"/>
    </row>
    <row r="49" spans="3:11">
      <c r="C49" s="406"/>
      <c r="E49" s="408"/>
      <c r="F49" s="408"/>
      <c r="G49" s="408"/>
    </row>
    <row r="50" spans="3:11">
      <c r="C50" s="337"/>
      <c r="E50" s="408"/>
      <c r="F50" s="408"/>
      <c r="G50" s="408"/>
      <c r="H50" s="632"/>
      <c r="I50" s="632"/>
      <c r="J50" s="633"/>
      <c r="K50" s="633"/>
    </row>
    <row r="51" spans="3:11">
      <c r="C51" s="337"/>
      <c r="E51" s="408"/>
      <c r="F51" s="408"/>
      <c r="G51" s="408"/>
      <c r="H51" s="409"/>
      <c r="I51" s="622" t="s">
        <v>1619</v>
      </c>
      <c r="J51" s="622"/>
      <c r="K51" s="622"/>
    </row>
    <row r="52" spans="3:11">
      <c r="C52" s="337"/>
      <c r="E52" s="408"/>
      <c r="F52" s="408"/>
      <c r="G52" s="408"/>
      <c r="H52" s="409"/>
      <c r="I52" s="622" t="s">
        <v>1620</v>
      </c>
      <c r="J52" s="622"/>
      <c r="K52" s="622"/>
    </row>
    <row r="53" spans="3:11">
      <c r="C53" s="337"/>
      <c r="E53" s="408"/>
      <c r="F53" s="408"/>
      <c r="G53" s="408"/>
      <c r="H53" s="410"/>
      <c r="I53" s="411"/>
      <c r="J53" s="411"/>
      <c r="K53" s="411"/>
    </row>
    <row r="54" spans="3:11">
      <c r="C54" s="337"/>
      <c r="E54" s="408"/>
      <c r="F54" s="408"/>
      <c r="G54" s="408"/>
      <c r="H54" s="410"/>
      <c r="I54" s="410"/>
      <c r="J54" s="410"/>
      <c r="K54" s="410"/>
    </row>
    <row r="55" spans="3:11">
      <c r="C55" s="337"/>
      <c r="E55" s="408"/>
      <c r="F55" s="408"/>
      <c r="G55" s="408"/>
      <c r="H55" s="410"/>
      <c r="I55" s="410"/>
      <c r="J55" s="410"/>
      <c r="K55" s="410"/>
    </row>
    <row r="56" spans="3:11">
      <c r="C56" s="337"/>
      <c r="E56" s="408"/>
      <c r="F56" s="408"/>
      <c r="G56" s="408"/>
      <c r="H56" s="410"/>
      <c r="I56" s="410"/>
      <c r="J56" s="410"/>
      <c r="K56" s="410"/>
    </row>
    <row r="57" spans="3:11">
      <c r="C57" s="337"/>
      <c r="E57" s="408"/>
      <c r="F57" s="408"/>
      <c r="G57" s="408"/>
      <c r="H57" s="412"/>
      <c r="I57" s="622" t="s">
        <v>1621</v>
      </c>
      <c r="J57" s="622"/>
      <c r="K57" s="622"/>
    </row>
    <row r="58" spans="3:11">
      <c r="C58" s="406"/>
      <c r="E58" s="408"/>
      <c r="F58" s="408"/>
      <c r="G58" s="408"/>
      <c r="H58" s="410"/>
      <c r="I58" s="410"/>
      <c r="J58" s="410"/>
      <c r="K58" s="410"/>
    </row>
    <row r="59" spans="3:11">
      <c r="C59" s="406"/>
      <c r="E59" s="408"/>
      <c r="F59" s="408"/>
      <c r="G59" s="408"/>
      <c r="H59" s="410"/>
      <c r="I59" s="410"/>
      <c r="J59" s="410"/>
      <c r="K59" s="410"/>
    </row>
    <row r="60" spans="3:11">
      <c r="C60" s="406"/>
      <c r="E60" s="408"/>
      <c r="F60" s="408"/>
      <c r="G60" s="408"/>
      <c r="H60" s="410"/>
      <c r="I60" s="410"/>
      <c r="J60" s="410"/>
      <c r="K60" s="410"/>
    </row>
  </sheetData>
  <sheetProtection sort="0" autoFilter="0"/>
  <protectedRanges>
    <protectedRange sqref="B38 B20:B36" name="Range1_1"/>
    <protectedRange sqref="F14:F39" name="Range1_1_2_2"/>
    <protectedRange sqref="C38 C20:C23" name="Range1_1_1"/>
    <protectedRange sqref="C24:C36" name="Range1_1_3_2"/>
    <protectedRange sqref="C16" name="Range1_1_3"/>
  </protectedRanges>
  <mergeCells count="22">
    <mergeCell ref="I52:K52"/>
    <mergeCell ref="I57:K57"/>
    <mergeCell ref="C45:F45"/>
    <mergeCell ref="G6:K6"/>
    <mergeCell ref="I51:K51"/>
    <mergeCell ref="C44:F44"/>
    <mergeCell ref="B46:K47"/>
    <mergeCell ref="H50:K50"/>
    <mergeCell ref="H11:K11"/>
    <mergeCell ref="H12:H13"/>
    <mergeCell ref="J12:J13"/>
    <mergeCell ref="K12:K13"/>
    <mergeCell ref="O3:P4"/>
    <mergeCell ref="B4:K4"/>
    <mergeCell ref="C43:F43"/>
    <mergeCell ref="B11:B13"/>
    <mergeCell ref="C11:C13"/>
    <mergeCell ref="D11:D13"/>
    <mergeCell ref="E11:E13"/>
    <mergeCell ref="F11:F13"/>
    <mergeCell ref="G11:G13"/>
    <mergeCell ref="I12:I13"/>
  </mergeCells>
  <phoneticPr fontId="139" type="noConversion"/>
  <conditionalFormatting sqref="C15:C17">
    <cfRule type="cellIs" dxfId="7" priority="39" operator="equal">
      <formula>0</formula>
    </cfRule>
  </conditionalFormatting>
  <conditionalFormatting sqref="C21">
    <cfRule type="cellIs" dxfId="6" priority="2" operator="equal">
      <formula>0</formula>
    </cfRule>
  </conditionalFormatting>
  <conditionalFormatting sqref="C34">
    <cfRule type="cellIs" dxfId="5" priority="22" operator="equal">
      <formula>0</formula>
    </cfRule>
  </conditionalFormatting>
  <conditionalFormatting sqref="C37">
    <cfRule type="cellIs" dxfId="4" priority="33" operator="equal">
      <formula>0</formula>
    </cfRule>
  </conditionalFormatting>
  <conditionalFormatting sqref="E1:E3 G1:G13 E5:E13 H12:I12 O13 E40:G40 H40:K42 E41:H41 E42:F42">
    <cfRule type="cellIs" dxfId="3" priority="1082" stopIfTrue="1" operator="equal">
      <formula>0</formula>
    </cfRule>
  </conditionalFormatting>
  <conditionalFormatting sqref="E14:K39">
    <cfRule type="cellIs" dxfId="2" priority="1" stopIfTrue="1" operator="equal">
      <formula>0</formula>
    </cfRule>
  </conditionalFormatting>
  <conditionalFormatting sqref="G41:G65507 E46:E65507">
    <cfRule type="cellIs" dxfId="1" priority="216" stopIfTrue="1" operator="equal">
      <formula>0</formula>
    </cfRule>
  </conditionalFormatting>
  <conditionalFormatting sqref="S14:V17">
    <cfRule type="cellIs" dxfId="0" priority="12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H14:K42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F40" zoomScale="145" zoomScaleNormal="115" zoomScaleSheetLayoutView="145" workbookViewId="0">
      <selection activeCell="Y52" sqref="Y52:AA55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36" t="s">
        <v>1439</v>
      </c>
      <c r="X2" s="637"/>
      <c r="Y2" s="637"/>
      <c r="Z2" s="637"/>
      <c r="AA2" s="637"/>
      <c r="AB2" s="637"/>
      <c r="AC2" s="637"/>
      <c r="AD2" s="638"/>
    </row>
    <row r="3" spans="3:30">
      <c r="C3" s="238"/>
      <c r="W3" s="639"/>
      <c r="X3" s="640"/>
      <c r="Y3" s="640"/>
      <c r="Z3" s="640"/>
      <c r="AA3" s="640"/>
      <c r="AB3" s="640"/>
      <c r="AC3" s="640"/>
      <c r="AD3" s="641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42" t="s">
        <v>990</v>
      </c>
      <c r="Y5" s="642"/>
      <c r="Z5" s="642"/>
      <c r="AA5" s="642" t="s">
        <v>988</v>
      </c>
      <c r="AB5" s="642"/>
      <c r="AC5" s="642" t="s">
        <v>989</v>
      </c>
      <c r="AD5" s="643"/>
    </row>
    <row r="6" spans="3:30">
      <c r="C6" s="238"/>
      <c r="W6" s="241">
        <v>1</v>
      </c>
      <c r="X6" s="642" t="s">
        <v>993</v>
      </c>
      <c r="Y6" s="642"/>
      <c r="Z6" s="642"/>
      <c r="AA6" s="642"/>
      <c r="AB6" s="642"/>
      <c r="AC6" s="642"/>
      <c r="AD6" s="643"/>
    </row>
    <row r="7" spans="3:30">
      <c r="C7" s="238"/>
      <c r="E7" s="488" t="s">
        <v>1615</v>
      </c>
      <c r="W7" s="241">
        <v>2</v>
      </c>
      <c r="X7" s="642" t="s">
        <v>994</v>
      </c>
      <c r="Y7" s="642"/>
      <c r="Z7" s="642"/>
      <c r="AA7" s="642"/>
      <c r="AB7" s="642"/>
      <c r="AC7" s="642"/>
      <c r="AD7" s="643"/>
    </row>
    <row r="8" spans="3:30">
      <c r="C8" s="238"/>
      <c r="W8" s="241">
        <v>3</v>
      </c>
      <c r="X8" s="642" t="s">
        <v>995</v>
      </c>
      <c r="Y8" s="642"/>
      <c r="Z8" s="642"/>
      <c r="AA8" s="642"/>
      <c r="AB8" s="642"/>
      <c r="AC8" s="642"/>
      <c r="AD8" s="643"/>
    </row>
    <row r="9" spans="3:30">
      <c r="C9" s="238"/>
      <c r="W9" s="241">
        <v>4</v>
      </c>
      <c r="X9" s="642" t="s">
        <v>996</v>
      </c>
      <c r="Y9" s="642"/>
      <c r="Z9" s="642"/>
      <c r="AA9" s="642"/>
      <c r="AB9" s="642"/>
      <c r="AC9" s="642"/>
      <c r="AD9" s="643"/>
    </row>
    <row r="10" spans="3:30">
      <c r="C10" s="238"/>
      <c r="W10" s="241">
        <v>5</v>
      </c>
      <c r="X10" s="642" t="s">
        <v>997</v>
      </c>
      <c r="Y10" s="642"/>
      <c r="Z10" s="642"/>
      <c r="AA10" s="642"/>
      <c r="AB10" s="642"/>
      <c r="AC10" s="642"/>
      <c r="AD10" s="643"/>
    </row>
    <row r="11" spans="3:30">
      <c r="C11" s="238"/>
      <c r="W11" s="241">
        <v>6</v>
      </c>
      <c r="X11" s="642" t="s">
        <v>998</v>
      </c>
      <c r="Y11" s="642"/>
      <c r="Z11" s="642"/>
      <c r="AA11" s="642"/>
      <c r="AB11" s="642"/>
      <c r="AC11" s="642"/>
      <c r="AD11" s="643"/>
    </row>
    <row r="12" spans="3:30">
      <c r="C12" s="238"/>
      <c r="W12" s="241">
        <v>7</v>
      </c>
      <c r="X12" s="642" t="s">
        <v>999</v>
      </c>
      <c r="Y12" s="642"/>
      <c r="Z12" s="642"/>
      <c r="AA12" s="642"/>
      <c r="AB12" s="642"/>
      <c r="AC12" s="642"/>
      <c r="AD12" s="643"/>
    </row>
    <row r="13" spans="3:30" ht="12.75" customHeight="1">
      <c r="C13" s="238"/>
      <c r="W13" s="241">
        <v>8</v>
      </c>
      <c r="X13" s="642" t="s">
        <v>1000</v>
      </c>
      <c r="Y13" s="642"/>
      <c r="Z13" s="642"/>
      <c r="AA13" s="642"/>
      <c r="AB13" s="642"/>
      <c r="AC13" s="642"/>
      <c r="AD13" s="643"/>
    </row>
    <row r="14" spans="3:30">
      <c r="C14" s="238"/>
      <c r="W14" s="241">
        <v>9</v>
      </c>
      <c r="X14" s="642" t="s">
        <v>1001</v>
      </c>
      <c r="Y14" s="642"/>
      <c r="Z14" s="642"/>
      <c r="AA14" s="642"/>
      <c r="AB14" s="642"/>
      <c r="AC14" s="642"/>
      <c r="AD14" s="643"/>
    </row>
    <row r="15" spans="3:30">
      <c r="C15" s="238"/>
      <c r="W15" s="241">
        <v>10</v>
      </c>
      <c r="X15" s="642" t="s">
        <v>1010</v>
      </c>
      <c r="Y15" s="642"/>
      <c r="Z15" s="642"/>
      <c r="AA15" s="642"/>
      <c r="AB15" s="642"/>
      <c r="AC15" s="642"/>
      <c r="AD15" s="643"/>
    </row>
    <row r="16" spans="3:30">
      <c r="C16" s="238"/>
      <c r="W16" s="241">
        <v>11</v>
      </c>
      <c r="X16" s="642" t="s">
        <v>1455</v>
      </c>
      <c r="Y16" s="642"/>
      <c r="Z16" s="642"/>
      <c r="AA16" s="642"/>
      <c r="AB16" s="642"/>
      <c r="AC16" s="642"/>
      <c r="AD16" s="643"/>
    </row>
    <row r="17" spans="3:30">
      <c r="C17" s="238"/>
      <c r="S17" s="242"/>
      <c r="W17" s="241">
        <v>12</v>
      </c>
      <c r="X17" s="642" t="s">
        <v>1011</v>
      </c>
      <c r="Y17" s="642"/>
      <c r="Z17" s="642"/>
      <c r="AA17" s="642"/>
      <c r="AB17" s="642"/>
      <c r="AC17" s="642"/>
      <c r="AD17" s="643"/>
    </row>
    <row r="18" spans="3:30">
      <c r="C18" s="243"/>
      <c r="D18" s="244"/>
      <c r="E18" s="244"/>
      <c r="W18" s="241">
        <v>13</v>
      </c>
      <c r="X18" s="642"/>
      <c r="Y18" s="642"/>
      <c r="Z18" s="642"/>
      <c r="AA18" s="642"/>
      <c r="AB18" s="642"/>
      <c r="AC18" s="642"/>
      <c r="AD18" s="643"/>
    </row>
    <row r="19" spans="3:30">
      <c r="C19" s="238"/>
      <c r="W19" s="245"/>
      <c r="X19" s="659"/>
      <c r="Y19" s="659"/>
      <c r="Z19" s="659"/>
      <c r="AA19" s="659"/>
      <c r="AB19" s="659"/>
      <c r="AC19" s="659"/>
      <c r="AD19" s="660"/>
    </row>
    <row r="20" spans="3:30">
      <c r="C20" s="238"/>
      <c r="W20" s="644" t="s">
        <v>992</v>
      </c>
      <c r="X20" s="645"/>
      <c r="Y20" s="645"/>
      <c r="Z20" s="645"/>
      <c r="AA20" s="645"/>
      <c r="AB20" s="645"/>
      <c r="AC20" s="645"/>
      <c r="AD20" s="646"/>
    </row>
    <row r="21" spans="3:30">
      <c r="C21" s="238"/>
      <c r="W21" s="647" t="s">
        <v>985</v>
      </c>
      <c r="X21" s="648"/>
      <c r="Y21" s="648"/>
      <c r="Z21" s="649"/>
      <c r="AA21" s="650" t="s">
        <v>986</v>
      </c>
      <c r="AB21" s="651"/>
      <c r="AC21" s="651"/>
      <c r="AD21" s="652"/>
    </row>
    <row r="22" spans="3:30">
      <c r="C22" s="238"/>
      <c r="W22" s="653"/>
      <c r="X22" s="654"/>
      <c r="Y22" s="490"/>
      <c r="Z22" s="491"/>
      <c r="AA22" s="655"/>
      <c r="AB22" s="656"/>
      <c r="AC22" s="248"/>
      <c r="AD22" s="249"/>
    </row>
    <row r="23" spans="3:30">
      <c r="C23" s="238"/>
      <c r="W23" s="653"/>
      <c r="X23" s="654"/>
      <c r="Y23" s="490"/>
      <c r="Z23" s="491"/>
      <c r="AA23" s="657"/>
      <c r="AB23" s="658"/>
      <c r="AC23" s="248"/>
      <c r="AD23" s="249"/>
    </row>
    <row r="24" spans="3:30">
      <c r="C24" s="238"/>
      <c r="W24" s="663"/>
      <c r="X24" s="664"/>
      <c r="Y24" s="246"/>
      <c r="Z24" s="247"/>
      <c r="AA24" s="665"/>
      <c r="AB24" s="666"/>
      <c r="AC24" s="248"/>
      <c r="AD24" s="249"/>
    </row>
    <row r="25" spans="3:30">
      <c r="C25" s="238"/>
      <c r="W25" s="663"/>
      <c r="X25" s="664"/>
      <c r="Y25" s="246"/>
      <c r="Z25" s="247"/>
      <c r="AA25" s="657"/>
      <c r="AB25" s="658"/>
      <c r="AC25" s="248"/>
      <c r="AD25" s="249"/>
    </row>
    <row r="26" spans="3:30">
      <c r="C26" s="238"/>
      <c r="W26" s="478"/>
      <c r="X26" s="479"/>
      <c r="Y26" s="246"/>
      <c r="Z26" s="247"/>
      <c r="AA26" s="657"/>
      <c r="AB26" s="658"/>
      <c r="AC26" s="248"/>
      <c r="AD26" s="249"/>
    </row>
    <row r="27" spans="3:30">
      <c r="C27" s="238"/>
      <c r="W27" s="478"/>
      <c r="X27" s="479"/>
      <c r="Y27" s="246"/>
      <c r="Z27" s="247"/>
      <c r="AA27" s="661"/>
      <c r="AB27" s="662"/>
      <c r="AC27" s="248"/>
      <c r="AD27" s="249"/>
    </row>
    <row r="28" spans="3:30">
      <c r="C28" s="238"/>
      <c r="W28" s="478"/>
      <c r="X28" s="479"/>
      <c r="Y28" s="246"/>
      <c r="Z28" s="247"/>
      <c r="AA28" s="661"/>
      <c r="AB28" s="662"/>
      <c r="AC28" s="248"/>
      <c r="AD28" s="249"/>
    </row>
    <row r="29" spans="3:30">
      <c r="C29" s="238"/>
      <c r="W29" s="478"/>
      <c r="X29" s="479"/>
      <c r="Y29" s="246"/>
      <c r="Z29" s="247"/>
      <c r="AA29" s="661"/>
      <c r="AB29" s="662"/>
      <c r="AC29" s="248"/>
      <c r="AD29" s="249"/>
    </row>
    <row r="30" spans="3:30" ht="11.25" customHeight="1">
      <c r="C30" s="238"/>
      <c r="W30" s="480"/>
      <c r="X30" s="481"/>
      <c r="Y30" s="246"/>
      <c r="Z30" s="247"/>
      <c r="AA30" s="661"/>
      <c r="AB30" s="662"/>
      <c r="AC30" s="248"/>
      <c r="AD30" s="249"/>
    </row>
    <row r="31" spans="3:30">
      <c r="C31" s="238"/>
      <c r="U31" s="250"/>
      <c r="W31" s="478"/>
      <c r="X31" s="479"/>
      <c r="Y31" s="246"/>
      <c r="Z31" s="247"/>
      <c r="AA31" s="661"/>
      <c r="AB31" s="662"/>
      <c r="AC31" s="248"/>
      <c r="AD31" s="249"/>
    </row>
    <row r="32" spans="3:30">
      <c r="C32" s="238"/>
      <c r="U32" s="250"/>
      <c r="W32" s="478"/>
      <c r="X32" s="479"/>
      <c r="Y32" s="246"/>
      <c r="Z32" s="247"/>
      <c r="AA32" s="661"/>
      <c r="AB32" s="662"/>
      <c r="AC32" s="248"/>
      <c r="AD32" s="249"/>
    </row>
    <row r="33" spans="3:30">
      <c r="C33" s="238"/>
      <c r="W33" s="478"/>
      <c r="X33" s="479"/>
      <c r="Y33" s="246"/>
      <c r="Z33" s="247"/>
      <c r="AA33" s="661"/>
      <c r="AB33" s="662"/>
      <c r="AC33" s="248"/>
      <c r="AD33" s="249"/>
    </row>
    <row r="34" spans="3:30">
      <c r="C34" s="238"/>
      <c r="W34" s="478"/>
      <c r="X34" s="479"/>
      <c r="Y34" s="246"/>
      <c r="Z34" s="247"/>
      <c r="AA34" s="661"/>
      <c r="AB34" s="662"/>
      <c r="AC34" s="248"/>
      <c r="AD34" s="249"/>
    </row>
    <row r="35" spans="3:30">
      <c r="C35" s="238"/>
      <c r="W35" s="663"/>
      <c r="X35" s="676"/>
      <c r="Y35" s="246"/>
      <c r="Z35" s="247"/>
      <c r="AA35" s="661"/>
      <c r="AB35" s="662"/>
      <c r="AC35" s="248"/>
      <c r="AD35" s="249"/>
    </row>
    <row r="36" spans="3:30">
      <c r="C36" s="238"/>
      <c r="J36" s="502"/>
      <c r="W36" s="667"/>
      <c r="X36" s="668"/>
      <c r="Y36" s="246"/>
      <c r="Z36" s="251"/>
      <c r="AA36" s="669"/>
      <c r="AB36" s="662"/>
      <c r="AC36" s="248"/>
      <c r="AD36" s="249"/>
    </row>
    <row r="37" spans="3:30" ht="12.75" customHeight="1">
      <c r="C37" s="238"/>
      <c r="J37" s="502"/>
      <c r="W37" s="670"/>
      <c r="X37" s="671"/>
      <c r="Y37" s="246"/>
      <c r="Z37" s="251"/>
      <c r="AA37" s="672"/>
      <c r="AB37" s="673"/>
      <c r="AC37" s="252"/>
      <c r="AD37" s="253"/>
    </row>
    <row r="38" spans="3:30" ht="12.75" customHeight="1">
      <c r="C38" s="238"/>
      <c r="J38" s="502"/>
      <c r="W38" s="670"/>
      <c r="X38" s="671"/>
      <c r="Y38" s="254"/>
      <c r="Z38" s="251"/>
      <c r="AA38" s="255"/>
      <c r="AB38" s="256"/>
      <c r="AC38" s="252"/>
      <c r="AD38" s="253"/>
    </row>
    <row r="39" spans="3:30" ht="12" customHeight="1">
      <c r="C39" s="238"/>
      <c r="J39" s="502"/>
      <c r="W39" s="670"/>
      <c r="X39" s="671"/>
      <c r="Y39" s="254"/>
      <c r="Z39" s="257"/>
      <c r="AA39" s="674"/>
      <c r="AB39" s="675"/>
      <c r="AC39" s="252"/>
      <c r="AD39" s="253"/>
    </row>
    <row r="40" spans="3:30" ht="12" customHeight="1">
      <c r="C40" s="238"/>
      <c r="J40" s="502"/>
      <c r="W40" s="680"/>
      <c r="X40" s="681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82"/>
      <c r="X41" s="683"/>
      <c r="Y41" s="260"/>
      <c r="Z41" s="261"/>
      <c r="AA41" s="674"/>
      <c r="AB41" s="675"/>
      <c r="AC41" s="252"/>
      <c r="AD41" s="253"/>
    </row>
    <row r="42" spans="3:30" ht="12" customHeight="1">
      <c r="C42" s="238"/>
      <c r="W42" s="684" t="s">
        <v>1456</v>
      </c>
      <c r="X42" s="685"/>
      <c r="Y42" s="685"/>
      <c r="Z42" s="685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77" t="s">
        <v>11</v>
      </c>
      <c r="X44" s="678"/>
      <c r="Y44" s="642"/>
      <c r="Z44" s="642"/>
      <c r="AA44" s="642"/>
      <c r="AB44" s="642"/>
      <c r="AC44" s="642"/>
      <c r="AD44" s="643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77" t="s">
        <v>984</v>
      </c>
      <c r="X45" s="678"/>
      <c r="Y45" s="642">
        <v>1</v>
      </c>
      <c r="Z45" s="642"/>
      <c r="AA45" s="642"/>
      <c r="AB45" s="642" t="s">
        <v>12</v>
      </c>
      <c r="AC45" s="642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77" t="s">
        <v>15</v>
      </c>
      <c r="X46" s="678"/>
      <c r="Y46" s="679"/>
      <c r="Z46" s="679"/>
      <c r="AA46" s="679"/>
      <c r="AB46" s="642" t="s">
        <v>16</v>
      </c>
      <c r="AC46" s="642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0" t="s">
        <v>17</v>
      </c>
      <c r="X47" s="690"/>
      <c r="Y47" s="690"/>
      <c r="Z47" s="690"/>
      <c r="AA47" s="690"/>
      <c r="AB47" s="690"/>
      <c r="AC47" s="690"/>
      <c r="AD47" s="691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92" t="str">
        <f>RAB!G6</f>
        <v>LAPANGAN TENIS KEMENAG</v>
      </c>
      <c r="X48" s="692"/>
      <c r="Y48" s="692"/>
      <c r="Z48" s="692"/>
      <c r="AA48" s="692"/>
      <c r="AB48" s="692"/>
      <c r="AC48" s="692"/>
      <c r="AD48" s="693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92"/>
      <c r="X49" s="692"/>
      <c r="Y49" s="692"/>
      <c r="Z49" s="692"/>
      <c r="AA49" s="692"/>
      <c r="AB49" s="692"/>
      <c r="AC49" s="692"/>
      <c r="AD49" s="693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92"/>
      <c r="X50" s="692"/>
      <c r="Y50" s="692"/>
      <c r="Z50" s="692"/>
      <c r="AA50" s="692"/>
      <c r="AB50" s="692"/>
      <c r="AC50" s="692"/>
      <c r="AD50" s="693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94"/>
      <c r="X51" s="694"/>
      <c r="Y51" s="694"/>
      <c r="Z51" s="694"/>
      <c r="AA51" s="694"/>
      <c r="AB51" s="694"/>
      <c r="AC51" s="694"/>
      <c r="AD51" s="695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77" t="s">
        <v>18</v>
      </c>
      <c r="X52" s="678"/>
      <c r="Y52" s="642" t="s">
        <v>1622</v>
      </c>
      <c r="Z52" s="642"/>
      <c r="AA52" s="642"/>
      <c r="AB52" s="642"/>
      <c r="AC52" s="642"/>
      <c r="AD52" s="643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77" t="s">
        <v>19</v>
      </c>
      <c r="X53" s="678"/>
      <c r="Y53" s="642" t="s">
        <v>1623</v>
      </c>
      <c r="Z53" s="642"/>
      <c r="AA53" s="642"/>
      <c r="AB53" s="642"/>
      <c r="AC53" s="642"/>
      <c r="AD53" s="643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77" t="s">
        <v>20</v>
      </c>
      <c r="X54" s="678"/>
      <c r="Y54" s="686" t="s">
        <v>1624</v>
      </c>
      <c r="Z54" s="686"/>
      <c r="AA54" s="686"/>
      <c r="AB54" s="642"/>
      <c r="AC54" s="642"/>
      <c r="AD54" s="643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87" t="s">
        <v>21</v>
      </c>
      <c r="X55" s="688"/>
      <c r="Y55" s="686" t="s">
        <v>1625</v>
      </c>
      <c r="Z55" s="686"/>
      <c r="AA55" s="686"/>
      <c r="AB55" s="686"/>
      <c r="AC55" s="686"/>
      <c r="AD55" s="689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U39" sqref="U39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6" t="s">
        <v>1528</v>
      </c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  <c r="AA4" s="697"/>
      <c r="AB4" s="697"/>
      <c r="AC4" s="698"/>
      <c r="AD4" s="217"/>
      <c r="AE4" s="216"/>
      <c r="AF4" s="216"/>
    </row>
    <row r="5" spans="2:32" ht="13.5" customHeight="1">
      <c r="B5" s="215"/>
      <c r="C5" s="215"/>
      <c r="D5" s="699"/>
      <c r="E5" s="700"/>
      <c r="F5" s="700"/>
      <c r="G5" s="700"/>
      <c r="H5" s="700"/>
      <c r="I5" s="700"/>
      <c r="J5" s="700"/>
      <c r="K5" s="700"/>
      <c r="L5" s="700"/>
      <c r="M5" s="700"/>
      <c r="N5" s="700"/>
      <c r="O5" s="700"/>
      <c r="P5" s="700"/>
      <c r="Q5" s="700"/>
      <c r="R5" s="700"/>
      <c r="S5" s="700"/>
      <c r="T5" s="700"/>
      <c r="U5" s="700"/>
      <c r="V5" s="700"/>
      <c r="W5" s="700"/>
      <c r="X5" s="700"/>
      <c r="Y5" s="700"/>
      <c r="Z5" s="700"/>
      <c r="AA5" s="700"/>
      <c r="AB5" s="700"/>
      <c r="AC5" s="701"/>
      <c r="AD5" s="217"/>
      <c r="AE5" s="216"/>
      <c r="AF5" s="216"/>
    </row>
    <row r="6" spans="2:32" ht="12.75" customHeight="1">
      <c r="B6" s="215"/>
      <c r="C6" s="215"/>
      <c r="D6" s="699"/>
      <c r="E6" s="700"/>
      <c r="F6" s="700"/>
      <c r="G6" s="700"/>
      <c r="H6" s="700"/>
      <c r="I6" s="700"/>
      <c r="J6" s="700"/>
      <c r="K6" s="700"/>
      <c r="L6" s="700"/>
      <c r="M6" s="700"/>
      <c r="N6" s="700"/>
      <c r="O6" s="700"/>
      <c r="P6" s="700"/>
      <c r="Q6" s="700"/>
      <c r="R6" s="700"/>
      <c r="S6" s="700"/>
      <c r="T6" s="700"/>
      <c r="U6" s="700"/>
      <c r="V6" s="700"/>
      <c r="W6" s="700"/>
      <c r="X6" s="700"/>
      <c r="Y6" s="700"/>
      <c r="Z6" s="700"/>
      <c r="AA6" s="700"/>
      <c r="AB6" s="700"/>
      <c r="AC6" s="701"/>
      <c r="AE6" s="216"/>
      <c r="AF6" s="216"/>
    </row>
    <row r="7" spans="2:32" ht="12.75" customHeight="1" thickBot="1">
      <c r="B7" s="215"/>
      <c r="C7" s="215"/>
      <c r="D7" s="702"/>
      <c r="E7" s="703"/>
      <c r="F7" s="703"/>
      <c r="G7" s="703"/>
      <c r="H7" s="703"/>
      <c r="I7" s="703"/>
      <c r="J7" s="703"/>
      <c r="K7" s="703"/>
      <c r="L7" s="703"/>
      <c r="M7" s="703"/>
      <c r="N7" s="703"/>
      <c r="O7" s="703"/>
      <c r="P7" s="703"/>
      <c r="Q7" s="703"/>
      <c r="R7" s="703"/>
      <c r="S7" s="703"/>
      <c r="T7" s="703"/>
      <c r="U7" s="703"/>
      <c r="V7" s="703"/>
      <c r="W7" s="703"/>
      <c r="X7" s="703"/>
      <c r="Y7" s="703"/>
      <c r="Z7" s="703"/>
      <c r="AA7" s="703"/>
      <c r="AB7" s="703"/>
      <c r="AC7" s="704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55" zoomScaleNormal="40" zoomScaleSheetLayoutView="55" workbookViewId="0">
      <selection activeCell="P25" sqref="P25"/>
    </sheetView>
  </sheetViews>
  <sheetFormatPr defaultRowHeight="12.75"/>
  <cols>
    <col min="1" max="1" width="1.7109375" style="423" customWidth="1"/>
    <col min="2" max="2" width="10.7109375" style="423" customWidth="1"/>
    <col min="3" max="3" width="2.5703125" style="423" customWidth="1"/>
    <col min="4" max="20" width="9.140625" style="423"/>
    <col min="21" max="21" width="14.5703125" style="423" customWidth="1"/>
    <col min="22" max="22" width="3.140625" style="423" customWidth="1"/>
    <col min="23" max="26" width="9.140625" style="423"/>
    <col min="27" max="27" width="2.85546875" style="423" customWidth="1"/>
    <col min="28" max="30" width="4.7109375" style="423" customWidth="1"/>
    <col min="31" max="31" width="1.7109375" style="423" customWidth="1"/>
    <col min="32" max="16384" width="9.140625" style="423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0" t="s">
        <v>1527</v>
      </c>
      <c r="D3" s="700"/>
      <c r="E3" s="700"/>
      <c r="F3" s="700"/>
      <c r="G3" s="700"/>
      <c r="H3" s="700"/>
      <c r="I3" s="700"/>
      <c r="J3" s="700"/>
      <c r="K3" s="700"/>
      <c r="L3" s="700"/>
      <c r="M3" s="700"/>
      <c r="N3" s="700"/>
      <c r="O3" s="700"/>
      <c r="P3" s="700"/>
      <c r="Q3" s="700"/>
      <c r="R3" s="700"/>
      <c r="S3" s="700"/>
      <c r="T3" s="700"/>
      <c r="U3" s="700"/>
      <c r="V3" s="700"/>
      <c r="W3" s="182"/>
      <c r="X3" s="434"/>
      <c r="Y3" s="434"/>
      <c r="Z3" s="434"/>
      <c r="AA3" s="434"/>
      <c r="AB3" s="434"/>
      <c r="AC3" s="424"/>
    </row>
    <row r="4" spans="1:29" ht="18.75" customHeight="1">
      <c r="A4" s="181"/>
      <c r="C4" s="700"/>
      <c r="D4" s="700"/>
      <c r="E4" s="700"/>
      <c r="F4" s="700"/>
      <c r="G4" s="700"/>
      <c r="H4" s="700"/>
      <c r="I4" s="700"/>
      <c r="J4" s="700"/>
      <c r="K4" s="700"/>
      <c r="L4" s="700"/>
      <c r="M4" s="700"/>
      <c r="N4" s="700"/>
      <c r="O4" s="700"/>
      <c r="P4" s="700"/>
      <c r="Q4" s="700"/>
      <c r="R4" s="700"/>
      <c r="S4" s="700"/>
      <c r="T4" s="700"/>
      <c r="U4" s="700"/>
      <c r="V4" s="700"/>
      <c r="W4" s="182"/>
      <c r="X4" s="434"/>
      <c r="Y4" s="434"/>
      <c r="Z4" s="434"/>
      <c r="AA4" s="434"/>
      <c r="AB4" s="434"/>
      <c r="AC4" s="424"/>
    </row>
    <row r="5" spans="1:29" ht="12.75" customHeight="1">
      <c r="A5" s="181"/>
      <c r="C5" s="425"/>
      <c r="W5" s="182"/>
    </row>
    <row r="6" spans="1:29" ht="12.75" customHeight="1">
      <c r="A6" s="181"/>
      <c r="C6" s="705" t="str">
        <f>GAMBAR!E7</f>
        <v>KOORDINAT : -6.899982578559648, 110.63230293700381</v>
      </c>
      <c r="D6" s="705"/>
      <c r="E6" s="705"/>
      <c r="F6" s="705"/>
      <c r="G6" s="705"/>
      <c r="H6" s="705"/>
      <c r="I6" s="705"/>
      <c r="J6" s="705"/>
      <c r="K6" s="705"/>
      <c r="L6" s="705"/>
      <c r="M6" s="705"/>
      <c r="W6" s="182"/>
      <c r="Y6" s="426"/>
      <c r="Z6" s="426"/>
      <c r="AA6" s="426"/>
      <c r="AB6" s="427"/>
      <c r="AC6" s="427"/>
    </row>
    <row r="7" spans="1:29" ht="18" customHeight="1">
      <c r="A7" s="181"/>
      <c r="C7" s="705"/>
      <c r="D7" s="705"/>
      <c r="E7" s="705"/>
      <c r="F7" s="705"/>
      <c r="G7" s="705"/>
      <c r="H7" s="705"/>
      <c r="I7" s="705"/>
      <c r="J7" s="705"/>
      <c r="K7" s="705"/>
      <c r="L7" s="705"/>
      <c r="M7" s="705"/>
      <c r="W7" s="182"/>
      <c r="Y7" s="426"/>
      <c r="Z7" s="426"/>
      <c r="AA7" s="426"/>
      <c r="AB7" s="427"/>
      <c r="AC7" s="427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8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9"/>
      <c r="S54" s="429"/>
      <c r="T54" s="429"/>
      <c r="U54" s="430"/>
      <c r="V54" s="430"/>
      <c r="W54" s="183"/>
      <c r="X54" s="430"/>
      <c r="Y54" s="430"/>
      <c r="Z54" s="430"/>
      <c r="AA54" s="430"/>
      <c r="AB54" s="430"/>
      <c r="AC54" s="430"/>
      <c r="AD54" s="430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5"/>
      <c r="S55" s="436"/>
      <c r="T55" s="436"/>
      <c r="U55" s="186"/>
      <c r="V55" s="187"/>
      <c r="W55" s="188"/>
      <c r="X55" s="430"/>
      <c r="Y55" s="430"/>
      <c r="Z55" s="430"/>
      <c r="AA55" s="431"/>
      <c r="AB55" s="431"/>
      <c r="AC55" s="431"/>
      <c r="AD55" s="431"/>
    </row>
    <row r="56" spans="1:30">
      <c r="U56" s="430"/>
      <c r="V56" s="431"/>
      <c r="W56" s="430"/>
      <c r="X56" s="430"/>
      <c r="Y56" s="430"/>
      <c r="Z56" s="430"/>
      <c r="AA56" s="431"/>
      <c r="AB56" s="430"/>
      <c r="AC56" s="430"/>
      <c r="AD56" s="430"/>
    </row>
    <row r="57" spans="1:30">
      <c r="U57" s="430"/>
      <c r="V57" s="431"/>
      <c r="W57" s="430"/>
      <c r="X57" s="430"/>
      <c r="Y57" s="430"/>
      <c r="Z57" s="430"/>
      <c r="AA57" s="430"/>
      <c r="AB57" s="430"/>
      <c r="AC57" s="430"/>
      <c r="AD57" s="430"/>
    </row>
    <row r="58" spans="1:30">
      <c r="U58" s="430"/>
      <c r="V58" s="431"/>
      <c r="W58" s="430"/>
      <c r="X58" s="430"/>
      <c r="Y58" s="430"/>
      <c r="Z58" s="430"/>
      <c r="AA58" s="430"/>
      <c r="AB58" s="430"/>
      <c r="AC58" s="430"/>
      <c r="AD58" s="430"/>
    </row>
    <row r="59" spans="1:30">
      <c r="U59" s="430"/>
      <c r="V59" s="431"/>
      <c r="W59" s="430"/>
      <c r="X59" s="430"/>
      <c r="Y59" s="430"/>
      <c r="Z59" s="430"/>
      <c r="AA59" s="430"/>
      <c r="AB59" s="430"/>
      <c r="AC59" s="430"/>
      <c r="AD59" s="430"/>
    </row>
    <row r="60" spans="1:30">
      <c r="U60" s="430"/>
      <c r="V60" s="431"/>
      <c r="W60" s="430"/>
      <c r="X60" s="430"/>
      <c r="Y60" s="430"/>
      <c r="Z60" s="430"/>
      <c r="AA60" s="431"/>
      <c r="AB60" s="430"/>
      <c r="AC60" s="430"/>
      <c r="AD60" s="430"/>
    </row>
    <row r="61" spans="1:30">
      <c r="U61" s="430"/>
      <c r="V61" s="431"/>
      <c r="W61" s="430"/>
      <c r="X61" s="430"/>
      <c r="Y61" s="430"/>
      <c r="Z61" s="430"/>
      <c r="AA61" s="430"/>
      <c r="AB61" s="430"/>
      <c r="AC61" s="430"/>
      <c r="AD61" s="430"/>
    </row>
    <row r="62" spans="1:30">
      <c r="U62" s="430"/>
      <c r="V62" s="431"/>
      <c r="W62" s="430"/>
      <c r="X62" s="430"/>
      <c r="Y62" s="430"/>
      <c r="Z62" s="430"/>
      <c r="AA62" s="430"/>
      <c r="AB62" s="430"/>
      <c r="AC62" s="430"/>
      <c r="AD62" s="430"/>
    </row>
    <row r="63" spans="1:30">
      <c r="U63" s="430"/>
      <c r="V63" s="431"/>
      <c r="W63" s="430"/>
      <c r="X63" s="430"/>
      <c r="Y63" s="430"/>
      <c r="Z63" s="430"/>
      <c r="AA63" s="430"/>
      <c r="AB63" s="430"/>
      <c r="AC63" s="430"/>
      <c r="AD63" s="430"/>
    </row>
    <row r="64" spans="1:30">
      <c r="U64" s="430"/>
      <c r="V64" s="431"/>
      <c r="W64" s="430"/>
      <c r="X64" s="430"/>
      <c r="Y64" s="430"/>
      <c r="Z64" s="430"/>
      <c r="AA64" s="430"/>
      <c r="AB64" s="430"/>
      <c r="AC64" s="430"/>
      <c r="AD64" s="430"/>
    </row>
    <row r="65" spans="5:30">
      <c r="U65" s="430"/>
      <c r="V65" s="431"/>
      <c r="W65" s="430"/>
      <c r="X65" s="430"/>
      <c r="Y65" s="430"/>
      <c r="Z65" s="430"/>
      <c r="AA65" s="430"/>
      <c r="AB65" s="430"/>
      <c r="AC65" s="430"/>
      <c r="AD65" s="430"/>
    </row>
    <row r="66" spans="5:30" ht="6" customHeight="1"/>
    <row r="73" spans="5:30">
      <c r="M73" s="432"/>
    </row>
    <row r="74" spans="5:30" ht="15" customHeight="1">
      <c r="E74" s="433"/>
      <c r="M74" s="432"/>
    </row>
    <row r="75" spans="5:30" ht="15" customHeight="1">
      <c r="E75" s="433"/>
      <c r="M75" s="432"/>
    </row>
    <row r="76" spans="5:30" ht="15" customHeight="1">
      <c r="E76" s="433"/>
      <c r="M76" s="432"/>
    </row>
    <row r="77" spans="5:30" ht="15" customHeight="1">
      <c r="E77" s="433"/>
      <c r="M77" s="432"/>
    </row>
    <row r="78" spans="5:30" ht="15" customHeight="1">
      <c r="E78" s="433"/>
      <c r="M78" s="432"/>
    </row>
    <row r="79" spans="5:30" ht="15" customHeight="1">
      <c r="E79" s="433"/>
      <c r="M79" s="432"/>
    </row>
    <row r="80" spans="5:30" ht="15" customHeight="1">
      <c r="E80" s="433"/>
      <c r="M80" s="432"/>
    </row>
    <row r="81" spans="5:13" ht="15" customHeight="1">
      <c r="E81" s="433"/>
      <c r="M81" s="432"/>
    </row>
    <row r="82" spans="5:13" ht="15" customHeight="1">
      <c r="E82" s="433"/>
      <c r="M82" s="432"/>
    </row>
    <row r="83" spans="5:13" ht="15" customHeight="1">
      <c r="E83" s="433"/>
      <c r="M83" s="432"/>
    </row>
    <row r="84" spans="5:13" ht="15" customHeight="1">
      <c r="E84" s="433"/>
      <c r="M84" s="432"/>
    </row>
    <row r="85" spans="5:13" ht="15" customHeight="1">
      <c r="E85" s="433"/>
      <c r="M85" s="432"/>
    </row>
    <row r="86" spans="5:13" ht="15" customHeight="1">
      <c r="E86" s="433"/>
      <c r="M86" s="432"/>
    </row>
    <row r="87" spans="5:13" ht="15" customHeight="1">
      <c r="E87" s="433"/>
      <c r="M87" s="432"/>
    </row>
    <row r="88" spans="5:13" ht="15" customHeight="1">
      <c r="E88" s="433"/>
      <c r="M88" s="432"/>
    </row>
    <row r="89" spans="5:13" ht="15" customHeight="1">
      <c r="E89" s="433"/>
      <c r="M89" s="432"/>
    </row>
    <row r="90" spans="5:13" ht="15" customHeight="1">
      <c r="E90" s="433"/>
      <c r="M90" s="432"/>
    </row>
    <row r="91" spans="5:13" ht="15" customHeight="1">
      <c r="E91" s="433"/>
      <c r="M91" s="432"/>
    </row>
    <row r="92" spans="5:13" ht="15" customHeight="1">
      <c r="E92" s="433"/>
      <c r="M92" s="432"/>
    </row>
    <row r="93" spans="5:13" ht="15" customHeight="1">
      <c r="E93" s="433"/>
      <c r="M93" s="432"/>
    </row>
    <row r="94" spans="5:13" ht="15" customHeight="1">
      <c r="E94" s="433"/>
      <c r="M94" s="432"/>
    </row>
    <row r="95" spans="5:13" ht="15" customHeight="1">
      <c r="E95" s="433"/>
      <c r="M95" s="432"/>
    </row>
    <row r="96" spans="5:13" ht="15" customHeight="1">
      <c r="E96" s="433"/>
    </row>
    <row r="97" spans="5:5" ht="15" customHeight="1">
      <c r="E97" s="433"/>
    </row>
    <row r="98" spans="5:5" ht="15" customHeight="1">
      <c r="E98" s="433"/>
    </row>
    <row r="99" spans="5:5" ht="15" customHeight="1">
      <c r="E99" s="433"/>
    </row>
    <row r="100" spans="5:5" ht="15" customHeight="1">
      <c r="E100" s="433"/>
    </row>
    <row r="101" spans="5:5" ht="15" customHeight="1">
      <c r="E101" s="433"/>
    </row>
    <row r="102" spans="5:5" ht="15" customHeight="1">
      <c r="E102" s="433"/>
    </row>
    <row r="103" spans="5:5" ht="15" customHeight="1">
      <c r="E103" s="433"/>
    </row>
    <row r="104" spans="5:5" ht="15" customHeight="1">
      <c r="E104" s="433"/>
    </row>
    <row r="105" spans="5:5" ht="15" customHeight="1">
      <c r="E105" s="433"/>
    </row>
    <row r="106" spans="5:5" ht="15" customHeight="1">
      <c r="E106" s="433"/>
    </row>
    <row r="107" spans="5:5" ht="15" customHeight="1">
      <c r="E107" s="433"/>
    </row>
    <row r="108" spans="5:5" ht="15" customHeight="1">
      <c r="E108" s="433"/>
    </row>
    <row r="109" spans="5:5" ht="15" customHeight="1">
      <c r="E109" s="433"/>
    </row>
    <row r="110" spans="5:5" ht="15" customHeight="1">
      <c r="E110" s="433"/>
    </row>
    <row r="111" spans="5:5" ht="15" customHeight="1">
      <c r="E111" s="433"/>
    </row>
    <row r="112" spans="5:5" ht="15" customHeight="1">
      <c r="E112" s="433"/>
    </row>
    <row r="113" spans="5:5" ht="15" customHeight="1">
      <c r="E113" s="433"/>
    </row>
    <row r="114" spans="5:5" ht="15" customHeight="1">
      <c r="E114" s="433"/>
    </row>
    <row r="115" spans="5:5" ht="15" customHeight="1">
      <c r="E115" s="433"/>
    </row>
    <row r="116" spans="5:5" ht="15" customHeight="1">
      <c r="E116" s="433"/>
    </row>
    <row r="117" spans="5:5" ht="15" customHeight="1">
      <c r="E117" s="433"/>
    </row>
    <row r="118" spans="5:5" ht="15" customHeight="1">
      <c r="E118" s="433"/>
    </row>
    <row r="119" spans="5:5" ht="15" customHeight="1">
      <c r="E119" s="433"/>
    </row>
    <row r="120" spans="5:5">
      <c r="E120" s="433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5">
        <v>1</v>
      </c>
    </row>
    <row r="2" spans="1:11" ht="48" customHeight="1">
      <c r="A2" s="455">
        <v>3</v>
      </c>
    </row>
    <row r="4" spans="1:11" ht="48" customHeight="1">
      <c r="C4" s="455">
        <v>1</v>
      </c>
    </row>
    <row r="5" spans="1:11" ht="48" customHeight="1">
      <c r="C5" s="455">
        <v>3</v>
      </c>
    </row>
    <row r="7" spans="1:11" ht="48" customHeight="1">
      <c r="E7" s="455">
        <v>1</v>
      </c>
    </row>
    <row r="8" spans="1:11" ht="48" customHeight="1">
      <c r="E8" s="455">
        <v>3</v>
      </c>
    </row>
    <row r="10" spans="1:11" ht="48" customHeight="1">
      <c r="G10" s="455">
        <v>3</v>
      </c>
    </row>
    <row r="11" spans="1:11" ht="48" customHeight="1">
      <c r="G11" s="455">
        <v>1</v>
      </c>
    </row>
    <row r="13" spans="1:11" ht="48" customHeight="1">
      <c r="I13" s="455">
        <v>3</v>
      </c>
    </row>
    <row r="14" spans="1:11" ht="48" customHeight="1">
      <c r="I14" s="455">
        <v>1</v>
      </c>
    </row>
    <row r="16" spans="1:11" ht="48" customHeight="1">
      <c r="K16" s="455">
        <v>3</v>
      </c>
    </row>
    <row r="17" spans="11:21" ht="48" customHeight="1">
      <c r="K17" s="455">
        <v>1</v>
      </c>
    </row>
    <row r="19" spans="11:21" ht="48" customHeight="1">
      <c r="M19" s="455">
        <v>3</v>
      </c>
    </row>
    <row r="20" spans="11:21" ht="48" customHeight="1">
      <c r="M20" s="455">
        <v>1</v>
      </c>
    </row>
    <row r="22" spans="11:21" ht="48" customHeight="1">
      <c r="O22" s="455">
        <v>3</v>
      </c>
    </row>
    <row r="23" spans="11:21" ht="48" customHeight="1">
      <c r="O23" s="455">
        <v>1</v>
      </c>
    </row>
    <row r="25" spans="11:21" ht="57" customHeight="1">
      <c r="Q25" s="455">
        <v>3</v>
      </c>
    </row>
    <row r="26" spans="11:21" ht="57" customHeight="1">
      <c r="Q26" s="455">
        <v>1</v>
      </c>
    </row>
    <row r="28" spans="11:21" ht="57" customHeight="1">
      <c r="S28" s="455">
        <v>3</v>
      </c>
    </row>
    <row r="29" spans="11:21" ht="57" customHeight="1">
      <c r="S29" s="455">
        <v>1</v>
      </c>
    </row>
    <row r="31" spans="11:21" ht="57" customHeight="1">
      <c r="U31" s="455">
        <v>3</v>
      </c>
    </row>
    <row r="32" spans="11:21" ht="57" customHeight="1">
      <c r="U32" s="45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2023-05-10T03:04:01Z</cp:lastPrinted>
  <dcterms:created xsi:type="dcterms:W3CDTF">2011-02-06T11:57:38Z</dcterms:created>
  <dcterms:modified xsi:type="dcterms:W3CDTF">2024-01-31T09:33:37Z</dcterms:modified>
</cp:coreProperties>
</file>