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P\PBPD\MOM\3. BP KURANG DR INVESTASI (PP LBH DR 5 TH)\MASYARAKAT BALEROMO\"/>
    </mc:Choice>
  </mc:AlternateContent>
  <xr:revisionPtr revIDLastSave="0" documentId="13_ncr:1_{09BB82CD-85DE-498E-8D95-2F83C4FA5547}" xr6:coauthVersionLast="47" xr6:coauthVersionMax="47" xr10:uidLastSave="{00000000-0000-0000-0000-000000000000}"/>
  <bookViews>
    <workbookView xWindow="-120" yWindow="-120" windowWidth="27240" windowHeight="1584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F109" i="11"/>
  <c r="F107" i="11"/>
  <c r="F106" i="11"/>
  <c r="F35" i="11"/>
  <c r="F34" i="11"/>
  <c r="F33" i="11"/>
  <c r="F32" i="11"/>
  <c r="F31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E35" i="11"/>
  <c r="G35" i="11"/>
  <c r="D36" i="11"/>
  <c r="H36" i="11" s="1"/>
  <c r="E36" i="11"/>
  <c r="G36" i="11"/>
  <c r="G17" i="11"/>
  <c r="G18" i="11"/>
  <c r="D17" i="11"/>
  <c r="H17" i="11" s="1"/>
  <c r="E17" i="11"/>
  <c r="D18" i="11"/>
  <c r="E18" i="11"/>
  <c r="J24" i="11" l="1"/>
  <c r="I26" i="11"/>
  <c r="I24" i="11"/>
  <c r="I30" i="11"/>
  <c r="I34" i="11"/>
  <c r="J28" i="11"/>
  <c r="I22" i="11"/>
  <c r="J36" i="11"/>
  <c r="H22" i="11"/>
  <c r="I36" i="11"/>
  <c r="H34" i="11"/>
  <c r="I33" i="11"/>
  <c r="J32" i="11"/>
  <c r="H30" i="11"/>
  <c r="I29" i="11"/>
  <c r="I32" i="11"/>
  <c r="I28" i="11"/>
  <c r="H26" i="11"/>
  <c r="K26" i="11" s="1"/>
  <c r="I25" i="11"/>
  <c r="J35" i="11"/>
  <c r="I35" i="11"/>
  <c r="I31" i="11"/>
  <c r="I27" i="11"/>
  <c r="I23" i="11"/>
  <c r="H35" i="11"/>
  <c r="J33" i="11"/>
  <c r="H31" i="11"/>
  <c r="J29" i="11"/>
  <c r="H27" i="11"/>
  <c r="J25" i="11"/>
  <c r="H23" i="11"/>
  <c r="J18" i="11"/>
  <c r="J17" i="11"/>
  <c r="I18" i="11"/>
  <c r="H18" i="11"/>
  <c r="I17" i="11"/>
  <c r="F76" i="11"/>
  <c r="F75" i="11"/>
  <c r="F74" i="11"/>
  <c r="F73" i="11"/>
  <c r="F72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E76" i="11"/>
  <c r="G76" i="11"/>
  <c r="D77" i="11"/>
  <c r="H77" i="11" s="1"/>
  <c r="E77" i="11"/>
  <c r="G77" i="11"/>
  <c r="F42" i="11"/>
  <c r="F41" i="11"/>
  <c r="F40" i="11"/>
  <c r="F39" i="11"/>
  <c r="F38" i="11"/>
  <c r="D40" i="11"/>
  <c r="H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H44" i="11" s="1"/>
  <c r="E44" i="11"/>
  <c r="G44" i="11"/>
  <c r="D37" i="11"/>
  <c r="H37" i="11" s="1"/>
  <c r="E37" i="11"/>
  <c r="G37" i="11"/>
  <c r="D38" i="11"/>
  <c r="J38" i="11" s="1"/>
  <c r="E38" i="11"/>
  <c r="G38" i="11"/>
  <c r="D39" i="11"/>
  <c r="H39" i="11" s="1"/>
  <c r="E39" i="11"/>
  <c r="G39" i="11"/>
  <c r="F118" i="11"/>
  <c r="F117" i="11"/>
  <c r="F116" i="11"/>
  <c r="F115" i="11"/>
  <c r="F114" i="11"/>
  <c r="F113" i="11"/>
  <c r="F112" i="11"/>
  <c r="F90" i="11"/>
  <c r="F89" i="11"/>
  <c r="F88" i="11"/>
  <c r="F87" i="11"/>
  <c r="F86" i="11"/>
  <c r="F85" i="11"/>
  <c r="F84" i="11"/>
  <c r="F83" i="11"/>
  <c r="F82" i="11"/>
  <c r="F81" i="11"/>
  <c r="F79" i="11"/>
  <c r="K28" i="11" l="1"/>
  <c r="K24" i="11"/>
  <c r="K30" i="11"/>
  <c r="K22" i="11"/>
  <c r="K33" i="11"/>
  <c r="K34" i="11"/>
  <c r="K32" i="11"/>
  <c r="K36" i="11"/>
  <c r="K29" i="11"/>
  <c r="K23" i="11"/>
  <c r="K25" i="11"/>
  <c r="K27" i="11"/>
  <c r="K35" i="11"/>
  <c r="K18" i="11"/>
  <c r="K31" i="11"/>
  <c r="K17" i="11"/>
  <c r="H75" i="11"/>
  <c r="I74" i="11"/>
  <c r="J73" i="11"/>
  <c r="J76" i="11"/>
  <c r="I71" i="11"/>
  <c r="I40" i="11"/>
  <c r="I77" i="11"/>
  <c r="I75" i="11"/>
  <c r="I73" i="11"/>
  <c r="H71" i="11"/>
  <c r="I76" i="11"/>
  <c r="I72" i="11"/>
  <c r="J77" i="11"/>
  <c r="H76" i="11"/>
  <c r="J74" i="11"/>
  <c r="H72" i="11"/>
  <c r="K72" i="11" s="1"/>
  <c r="J44" i="11"/>
  <c r="I44" i="11"/>
  <c r="I43" i="11"/>
  <c r="J42" i="11"/>
  <c r="J40" i="11"/>
  <c r="I42" i="11"/>
  <c r="I41" i="11"/>
  <c r="H43" i="11"/>
  <c r="H41" i="11"/>
  <c r="J39" i="11"/>
  <c r="I38" i="11"/>
  <c r="J37" i="11"/>
  <c r="I37" i="11"/>
  <c r="I39" i="11"/>
  <c r="H38" i="11"/>
  <c r="K73" i="11" l="1"/>
  <c r="K71" i="11"/>
  <c r="K75" i="11"/>
  <c r="K74" i="11"/>
  <c r="K40" i="11"/>
  <c r="K76" i="11"/>
  <c r="K43" i="11"/>
  <c r="K77" i="11"/>
  <c r="K44" i="11"/>
  <c r="K42" i="11"/>
  <c r="K41" i="11"/>
  <c r="K38" i="11"/>
  <c r="K37" i="11"/>
  <c r="K39" i="11"/>
  <c r="G110" i="11" l="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D110" i="11"/>
  <c r="H110" i="11" s="1"/>
  <c r="E110" i="11"/>
  <c r="D111" i="11"/>
  <c r="J111" i="11" s="1"/>
  <c r="E111" i="11"/>
  <c r="D112" i="11"/>
  <c r="E112" i="11"/>
  <c r="D113" i="11"/>
  <c r="H113" i="11" s="1"/>
  <c r="E113" i="11"/>
  <c r="D114" i="11"/>
  <c r="H114" i="11" s="1"/>
  <c r="E114" i="11"/>
  <c r="D115" i="11"/>
  <c r="J115" i="11" s="1"/>
  <c r="E115" i="11"/>
  <c r="D116" i="11"/>
  <c r="E116" i="11"/>
  <c r="D117" i="11"/>
  <c r="H117" i="11" s="1"/>
  <c r="E117" i="11"/>
  <c r="D118" i="11"/>
  <c r="H118" i="11" s="1"/>
  <c r="E118" i="11"/>
  <c r="D119" i="11"/>
  <c r="J119" i="11" s="1"/>
  <c r="E119" i="11"/>
  <c r="D120" i="11"/>
  <c r="J120" i="11" s="1"/>
  <c r="E120" i="11"/>
  <c r="D121" i="11"/>
  <c r="I121" i="11" s="1"/>
  <c r="E121" i="11"/>
  <c r="D122" i="11"/>
  <c r="H122" i="11" s="1"/>
  <c r="E122" i="11"/>
  <c r="F67" i="11"/>
  <c r="F66" i="11"/>
  <c r="F65" i="11"/>
  <c r="F64" i="11"/>
  <c r="F61" i="11"/>
  <c r="F60" i="11"/>
  <c r="F59" i="11"/>
  <c r="F58" i="11"/>
  <c r="F55" i="11"/>
  <c r="F54" i="11"/>
  <c r="F53" i="11"/>
  <c r="F52" i="11"/>
  <c r="F51" i="11"/>
  <c r="F50" i="11"/>
  <c r="D48" i="11"/>
  <c r="H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F46" i="11"/>
  <c r="I116" i="11" l="1"/>
  <c r="I112" i="11"/>
  <c r="I118" i="11"/>
  <c r="J110" i="11"/>
  <c r="H121" i="11"/>
  <c r="J114" i="11"/>
  <c r="H112" i="11"/>
  <c r="I110" i="11"/>
  <c r="J118" i="11"/>
  <c r="H116" i="11"/>
  <c r="I114" i="11"/>
  <c r="I120" i="11"/>
  <c r="I119" i="11"/>
  <c r="I115" i="11"/>
  <c r="I111" i="11"/>
  <c r="J122" i="11"/>
  <c r="H120" i="11"/>
  <c r="H119" i="11"/>
  <c r="J117" i="11"/>
  <c r="H115" i="11"/>
  <c r="J113" i="11"/>
  <c r="H111" i="11"/>
  <c r="I122" i="11"/>
  <c r="J121" i="11"/>
  <c r="I117" i="11"/>
  <c r="J116" i="11"/>
  <c r="I113" i="11"/>
  <c r="J112" i="11"/>
  <c r="I60" i="11"/>
  <c r="I54" i="11"/>
  <c r="I56" i="11"/>
  <c r="J48" i="11"/>
  <c r="I66" i="11"/>
  <c r="I48" i="11"/>
  <c r="J61" i="11"/>
  <c r="I58" i="11"/>
  <c r="H56" i="11"/>
  <c r="I55" i="11"/>
  <c r="I50" i="11"/>
  <c r="I69" i="11"/>
  <c r="I62" i="11"/>
  <c r="I64" i="11"/>
  <c r="H52" i="11"/>
  <c r="I51" i="11"/>
  <c r="I52" i="11"/>
  <c r="I67" i="11"/>
  <c r="J66" i="11"/>
  <c r="H64" i="11"/>
  <c r="I63" i="11"/>
  <c r="J62" i="11"/>
  <c r="H60" i="11"/>
  <c r="I59" i="11"/>
  <c r="J58" i="11"/>
  <c r="J54" i="11"/>
  <c r="K54" i="11" s="1"/>
  <c r="J50" i="11"/>
  <c r="H69" i="11"/>
  <c r="I70" i="11"/>
  <c r="I65" i="11"/>
  <c r="I61" i="11"/>
  <c r="I57" i="11"/>
  <c r="I53" i="11"/>
  <c r="I49" i="11"/>
  <c r="H70" i="11"/>
  <c r="J68" i="11"/>
  <c r="J67" i="11"/>
  <c r="H65" i="11"/>
  <c r="K65" i="11" s="1"/>
  <c r="J63" i="11"/>
  <c r="H61" i="11"/>
  <c r="J59" i="11"/>
  <c r="H57" i="11"/>
  <c r="J55" i="11"/>
  <c r="H53" i="11"/>
  <c r="J51" i="11"/>
  <c r="H49" i="11"/>
  <c r="I68" i="11"/>
  <c r="K49" i="11" l="1"/>
  <c r="K119" i="11"/>
  <c r="K114" i="11"/>
  <c r="K116" i="11"/>
  <c r="K60" i="11"/>
  <c r="K113" i="11"/>
  <c r="K122" i="11"/>
  <c r="K111" i="11"/>
  <c r="K120" i="11"/>
  <c r="K118" i="11"/>
  <c r="K117" i="11"/>
  <c r="K112" i="11"/>
  <c r="K110" i="11"/>
  <c r="K121" i="11"/>
  <c r="K115" i="11"/>
  <c r="K48" i="11"/>
  <c r="K53" i="11"/>
  <c r="K56" i="11"/>
  <c r="K64" i="11"/>
  <c r="K55" i="11"/>
  <c r="K63" i="11"/>
  <c r="K70" i="11"/>
  <c r="K68" i="11"/>
  <c r="K52" i="11"/>
  <c r="K66" i="11"/>
  <c r="K50" i="11"/>
  <c r="K58" i="11"/>
  <c r="K51" i="11"/>
  <c r="K69" i="11"/>
  <c r="K57" i="11"/>
  <c r="K62" i="11"/>
  <c r="K59" i="11"/>
  <c r="K67" i="11"/>
  <c r="K61" i="11"/>
  <c r="D45" i="11" l="1"/>
  <c r="E45" i="11"/>
  <c r="G45" i="11"/>
  <c r="J46" i="11"/>
  <c r="D47" i="11"/>
  <c r="H47" i="11" s="1"/>
  <c r="E47" i="11"/>
  <c r="G47" i="11"/>
  <c r="D104" i="11"/>
  <c r="D105" i="11"/>
  <c r="D106" i="11"/>
  <c r="D107" i="11"/>
  <c r="D108" i="11"/>
  <c r="D109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91" i="11"/>
  <c r="D91" i="11"/>
  <c r="J91" i="11" s="1"/>
  <c r="E91" i="11"/>
  <c r="H45" i="11" l="1"/>
  <c r="J47" i="11"/>
  <c r="I47" i="11"/>
  <c r="I46" i="11"/>
  <c r="J45" i="11"/>
  <c r="I45" i="11"/>
  <c r="H46" i="11"/>
  <c r="J21" i="11"/>
  <c r="I21" i="11"/>
  <c r="I19" i="11"/>
  <c r="H19" i="11"/>
  <c r="I15" i="11"/>
  <c r="H15" i="11"/>
  <c r="I16" i="11"/>
  <c r="H16" i="11"/>
  <c r="I91" i="11"/>
  <c r="H91" i="11"/>
  <c r="K47" i="11" l="1"/>
  <c r="K46" i="11"/>
  <c r="K45" i="11"/>
  <c r="K21" i="11"/>
  <c r="K19" i="11"/>
  <c r="K15" i="11"/>
  <c r="K91" i="11"/>
  <c r="K16" i="11"/>
  <c r="F101" i="11" l="1"/>
  <c r="F100" i="11"/>
  <c r="F99" i="11"/>
  <c r="F98" i="11"/>
  <c r="F97" i="11"/>
  <c r="F96" i="11"/>
  <c r="F95" i="11"/>
  <c r="F94" i="11"/>
  <c r="F93" i="11"/>
  <c r="D92" i="11"/>
  <c r="H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J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H99" i="11" s="1"/>
  <c r="E99" i="11"/>
  <c r="G99" i="11"/>
  <c r="D100" i="11"/>
  <c r="H100" i="11" s="1"/>
  <c r="E100" i="11"/>
  <c r="G100" i="11"/>
  <c r="D101" i="11"/>
  <c r="E101" i="11"/>
  <c r="G101" i="11"/>
  <c r="D102" i="11"/>
  <c r="J102" i="11" s="1"/>
  <c r="E102" i="11"/>
  <c r="G102" i="11"/>
  <c r="D78" i="11"/>
  <c r="J78" i="11" s="1"/>
  <c r="E78" i="11"/>
  <c r="G78" i="11"/>
  <c r="D79" i="11"/>
  <c r="I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E83" i="11"/>
  <c r="G83" i="11"/>
  <c r="D84" i="11"/>
  <c r="J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D89" i="11"/>
  <c r="J89" i="11" s="1"/>
  <c r="E89" i="11"/>
  <c r="G89" i="11"/>
  <c r="D90" i="11"/>
  <c r="E90" i="11"/>
  <c r="G90" i="11"/>
  <c r="G6" i="11"/>
  <c r="D103" i="11"/>
  <c r="J103" i="11" s="1"/>
  <c r="E103" i="11"/>
  <c r="G103" i="11"/>
  <c r="H104" i="11"/>
  <c r="E104" i="11"/>
  <c r="G104" i="11"/>
  <c r="E105" i="11"/>
  <c r="G105" i="11"/>
  <c r="J106" i="11"/>
  <c r="E106" i="11"/>
  <c r="G106" i="11"/>
  <c r="J107" i="11"/>
  <c r="E107" i="11"/>
  <c r="G107" i="11"/>
  <c r="E108" i="11"/>
  <c r="G108" i="11"/>
  <c r="H109" i="11"/>
  <c r="E109" i="11"/>
  <c r="G109" i="11"/>
  <c r="D20" i="60"/>
  <c r="I83" i="11" l="1"/>
  <c r="J90" i="11"/>
  <c r="J101" i="11"/>
  <c r="J100" i="11"/>
  <c r="J92" i="11"/>
  <c r="I96" i="11"/>
  <c r="I92" i="11"/>
  <c r="I98" i="11"/>
  <c r="H98" i="11"/>
  <c r="H94" i="11"/>
  <c r="I94" i="11"/>
  <c r="I102" i="11"/>
  <c r="I100" i="11"/>
  <c r="I99" i="11"/>
  <c r="J79" i="11"/>
  <c r="H102" i="11"/>
  <c r="H96" i="11"/>
  <c r="I95" i="11"/>
  <c r="I101" i="11"/>
  <c r="H101" i="11"/>
  <c r="J99" i="11"/>
  <c r="H97" i="11"/>
  <c r="J95" i="11"/>
  <c r="H93" i="11"/>
  <c r="I97" i="11"/>
  <c r="I93" i="11"/>
  <c r="I87" i="11"/>
  <c r="J83" i="11"/>
  <c r="H83" i="11"/>
  <c r="H87" i="11"/>
  <c r="J88" i="11"/>
  <c r="H84" i="11"/>
  <c r="I81" i="11"/>
  <c r="I80" i="11"/>
  <c r="I88" i="11"/>
  <c r="I84" i="11"/>
  <c r="H79" i="11"/>
  <c r="H89" i="11"/>
  <c r="H85" i="11"/>
  <c r="H80" i="11"/>
  <c r="I85" i="11"/>
  <c r="H81" i="11"/>
  <c r="I89" i="11"/>
  <c r="I86" i="11"/>
  <c r="I78" i="11"/>
  <c r="H90" i="11"/>
  <c r="H86" i="11"/>
  <c r="H82" i="11"/>
  <c r="H78" i="11"/>
  <c r="I90" i="11"/>
  <c r="I82" i="11"/>
  <c r="H105" i="11"/>
  <c r="H108" i="11"/>
  <c r="J109" i="11"/>
  <c r="J108" i="11"/>
  <c r="I106" i="11"/>
  <c r="H106" i="11"/>
  <c r="J105" i="11"/>
  <c r="J104" i="11"/>
  <c r="I104" i="11"/>
  <c r="I108" i="11"/>
  <c r="H107" i="11"/>
  <c r="H103" i="11"/>
  <c r="I107" i="11"/>
  <c r="I103" i="11"/>
  <c r="I109" i="11"/>
  <c r="I105" i="11"/>
  <c r="D14" i="11"/>
  <c r="J14" i="11" s="1"/>
  <c r="E14" i="11"/>
  <c r="G14" i="11"/>
  <c r="K19" i="60"/>
  <c r="D19" i="60"/>
  <c r="K81" i="11" l="1"/>
  <c r="K98" i="11"/>
  <c r="K86" i="11"/>
  <c r="K92" i="11"/>
  <c r="K96" i="11"/>
  <c r="K83" i="11"/>
  <c r="K100" i="11"/>
  <c r="K88" i="11"/>
  <c r="K99" i="11"/>
  <c r="K87" i="11"/>
  <c r="K94" i="11"/>
  <c r="K84" i="11"/>
  <c r="K80" i="11"/>
  <c r="K79" i="11"/>
  <c r="K102" i="11"/>
  <c r="K95" i="11"/>
  <c r="K93" i="11"/>
  <c r="K101" i="11"/>
  <c r="K97" i="11"/>
  <c r="K85" i="11"/>
  <c r="K89" i="11"/>
  <c r="K90" i="11"/>
  <c r="K78" i="11"/>
  <c r="K82" i="11"/>
  <c r="K104" i="11"/>
  <c r="K106" i="11"/>
  <c r="K108" i="11"/>
  <c r="K109" i="11"/>
  <c r="K105" i="11"/>
  <c r="K103" i="11"/>
  <c r="K10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2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3" i="11"/>
  <c r="D124" i="11"/>
  <c r="H124" i="11" s="1"/>
  <c r="E12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2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24" i="11"/>
  <c r="I12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2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26" i="11"/>
  <c r="H127" i="11" s="1"/>
  <c r="I126" i="11"/>
  <c r="I12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32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8" i="11"/>
  <c r="I128" i="11"/>
  <c r="F364" i="29"/>
  <c r="F69" i="39"/>
  <c r="F72" i="39"/>
  <c r="F367" i="29"/>
  <c r="J123" i="11"/>
  <c r="K12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26" i="11" l="1"/>
  <c r="K127" i="11" s="1"/>
  <c r="K128" i="11" s="1"/>
  <c r="B12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26" i="11"/>
  <c r="J12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22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<sst xmlns="http://schemas.openxmlformats.org/spreadsheetml/2006/main" count="4787" uniqueCount="1642">
  <si>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</si>
  <si>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</si>
  <si>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</si>
  <si>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</si>
  <si>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</si>
  <si>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</si>
  <si>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</si>
  <si>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</si>
  <si>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</si>
  <si>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</si>
  <si>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</si>
  <si>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</si>
  <si>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</si>
  <si>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</si>
  <si>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</si>
  <si>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</si>
  <si>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</si>
  <si>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</si>
  <si>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</si>
  <si>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</si>
  <si>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</si>
  <si>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</si>
  <si>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</si>
  <si>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</si>
  <si>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</si>
  <si>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</si>
  <si>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</si>
  <si>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</si>
  <si>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</si>
  <si>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</si>
  <si>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</si>
  <si>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</si>
  <si>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</si>
  <si>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</si>
  <si>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</si>
  <si>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</si>
  <si>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</si>
  <si>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</si>
  <si>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</si>
  <si>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</si>
  <si>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</si>
  <si>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</si>
  <si>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</si>
  <si>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</si>
  <si>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</si>
  <si>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</si>
  <si>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</si>
  <si>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</si>
  <si>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</si>
  <si>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</si>
  <si>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</si>
  <si>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</si>
  <si>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</si>
  <si>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</si>
  <si>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</si>
  <si>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</si>
  <si>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</si>
  <si>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</si>
  <si>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</si>
  <si>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</si>
  <si>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</si>
  <si>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</si>
  <si>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</si>
  <si>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</si>
  <si>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</si>
  <si>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</si>
  <si>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</si>
  <si>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</si>
  <si>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</si>
  <si>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</si>
  <si>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</si>
  <si>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</si>
  <si>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</si>
  <si>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</si>
  <si>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</si>
  <si>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</si>
  <si>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</si>
  <si>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</si>
  <si>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</si>
  <si>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</si>
  <si>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</si>
  <si>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</si>
  <si>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</si>
  <si>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</si>
  <si>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</si>
  <si>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</si>
  <si>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</si>
  <si>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</si>
  <si>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</si>
  <si>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</si>
  <si>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</si>
  <si>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</si>
  <si>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</si>
  <si>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</si>
  <si>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</si>
  <si>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</si>
  <si>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</si>
  <si>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</si>
  <si>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</si>
  <si>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</si>
  <si>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</si>
  <si>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</si>
  <si>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</si>
  <si>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</si>
  <si>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</si>
  <si>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</si>
  <si>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</si>
  <si>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</si>
  <si>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</si>
  <si>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</si>
  <si>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</si>
  <si>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</si>
  <si>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</si>
  <si>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</si>
  <si>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</si>
  <si>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</si>
  <si>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</si>
  <si>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</si>
  <si>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</si>
  <si>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</si>
  <si>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</si>
  <si>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</si>
  <si>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</si>
  <si>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</si>
  <si>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</si>
  <si>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</si>
  <si>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</si>
  <si>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</si>
  <si>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</si>
  <si>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</si>
  <si>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</si>
  <si>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</si>
  <si>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</si>
  <si>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</si>
  <si>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</si>
  <si>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</si>
  <si>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</si>
  <si>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</si>
  <si>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</si>
  <si>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</si>
  <si>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</si>
  <si>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</si>
  <si>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</si>
  <si>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</si>
  <si>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</si>
  <si>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</si>
  <si>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</si>
  <si>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</si>
  <si>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</si>
  <si>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</si>
  <si>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</si>
  <si>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</si>
  <si>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</si>
  <si>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</si>
  <si>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</si>
  <si>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</si>
  <si>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</si>
  <si>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</si>
  <si>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</si>
  <si>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</si>
  <si>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</si>
  <si>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</si>
  <si>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</si>
  <si>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</si>
  <si>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</si>
  <si>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</si>
  <si>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</si>
  <si>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</si>
  <si>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</si>
  <si>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</si>
  <si>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</si>
  <si>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</si>
  <si>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</si>
  <si>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</si>
  <si>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</si>
  <si>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</si>
  <si>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</si>
  <si>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</si>
  <si>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</si>
  <si>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</si>
  <si>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</si>
  <si>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</si>
  <si>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</si>
  <si>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</si>
  <si>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</si>
  <si>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</si>
  <si>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</si>
  <si>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</si>
  <si>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</si>
  <si>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</si>
  <si>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</si>
  <si>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</si>
  <si>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</si>
  <si>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</si>
  <si>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</si>
  <si>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</si>
  <si>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</si>
  <si>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</si>
  <si>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</si>
  <si>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</si>
  <si>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</si>
  <si>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</si>
  <si>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</si>
  <si>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</si>
  <si>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</si>
  <si>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</si>
  <si>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</si>
  <si>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</si>
  <si>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</si>
  <si>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</si>
  <si>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</si>
  <si>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</si>
  <si>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</si>
  <si>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</si>
  <si>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</si>
  <si>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</si>
  <si>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</si>
  <si>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</si>
  <si>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</si>
  <si>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</si>
  <si>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</si>
  <si>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</si>
  <si>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</si>
  <si>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</si>
  <si>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</si>
  <si>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</si>
  <si>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</si>
  <si>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</si>
  <si>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</si>
  <si>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</si>
  <si>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</si>
  <si>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</si>
  <si>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</si>
  <si>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</si>
  <si>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</si>
  <si>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</si>
  <si>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</si>
  <si>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</si>
  <si>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</si>
  <si>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</si>
  <si>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</si>
  <si>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</si>
  <si>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</si>
  <si>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</si>
  <si>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</si>
  <si>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</si>
  <si>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</si>
  <si>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</si>
  <si>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</si>
  <si>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</si>
  <si>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</si>
  <si>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</si>
  <si>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</si>
  <si>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</si>
  <si>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</si>
  <si>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</si>
  <si>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</si>
  <si>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</si>
  <si>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</si>
  <si>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</si>
  <si>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</si>
  <si>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</si>
  <si>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</si>
  <si>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</si>
  <si>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</si>
  <si>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</si>
  <si>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</si>
  <si>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</si>
  <si>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</si>
  <si>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</si>
  <si>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</si>
  <si>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</si>
  <si>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</si>
  <si>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</si>
  <si>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</si>
  <si>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</si>
  <si>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</si>
  <si>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</si>
  <si>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</si>
  <si>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</si>
  <si>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</si>
  <si>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</si>
  <si>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</si>
  <si>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</si>
  <si>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</si>
  <si>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</si>
  <si>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</si>
  <si>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</si>
  <si>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</si>
  <si>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</si>
  <si>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</si>
  <si>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</si>
  <si>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</si>
  <si>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</si>
  <si>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</si>
  <si>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</si>
  <si>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</si>
  <si>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</si>
  <si>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</si>
  <si>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</si>
  <si>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</si>
  <si>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</si>
  <si>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</si>
  <si>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</si>
  <si>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</si>
  <si>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</si>
  <si>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</si>
  <si>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</si>
  <si>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</si>
  <si>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</si>
  <si>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</si>
  <si>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</si>
  <si>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</si>
  <si>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</si>
  <si>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</si>
  <si>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</si>
  <si>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</si>
  <si>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</si>
  <si>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</si>
  <si>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</si>
  <si>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</si>
  <si>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</si>
  <si>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</si>
  <si>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</si>
  <si>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</si>
  <si>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</si>
  <si>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</si>
  <si>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</si>
  <si>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</si>
  <si>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</si>
  <si>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</si>
  <si>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</si>
  <si>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</si>
  <si>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</si>
  <si>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</si>
  <si>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</si>
  <si>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</si>
  <si>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</si>
  <si>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</si>
  <si>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</si>
  <si>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</si>
  <si>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</si>
  <si>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</si>
  <si>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</si>
  <si>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</si>
  <si>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</si>
  <si>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</si>
  <si>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</si>
  <si>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</si>
  <si>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</si>
  <si>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</si>
  <si>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</si>
  <si>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</si>
  <si>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</si>
  <si>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</si>
  <si>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</si>
  <si>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</si>
  <si>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</si>
  <si>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</si>
  <si>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</si>
  <si>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</si>
  <si>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</si>
  <si>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</si>
  <si>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</si>
  <si>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</si>
  <si>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</si>
  <si>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</si>
  <si>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</si>
  <si>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</si>
  <si>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</si>
  <si>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</si>
  <si>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</si>
  <si>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</si>
  <si>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</si>
  <si>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</si>
  <si>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</si>
  <si>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</si>
  <si>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</si>
  <si>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</si>
  <si>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</si>
  <si>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</si>
  <si>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</si>
  <si>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</si>
  <si>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</si>
  <si>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</si>
  <si>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</si>
  <si>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</si>
  <si>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</si>
  <si>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</si>
  <si>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</si>
  <si>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</si>
  <si>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</si>
  <si>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</si>
  <si>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</si>
  <si>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</si>
  <si>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</si>
  <si>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</si>
  <si>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</si>
  <si>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</si>
  <si>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</si>
  <si>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</si>
  <si>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</si>
  <si>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</si>
  <si>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</si>
  <si>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</si>
  <si>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</si>
  <si>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</si>
  <si>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</si>
  <si>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</si>
  <si>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</si>
  <si>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</si>
  <si>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</si>
  <si>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</si>
  <si>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</si>
  <si>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</si>
  <si>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</si>
  <si>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</si>
  <si>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</si>
  <si>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</si>
  <si>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</si>
  <si>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</si>
  <si>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</si>
  <si>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</si>
  <si>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</si>
  <si>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</si>
  <si>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</si>
  <si>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</si>
  <si>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</si>
  <si>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</si>
  <si>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</si>
  <si>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</si>
  <si>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</si>
  <si>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</si>
  <si>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</si>
  <si>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</si>
  <si>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</si>
  <si>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</si>
  <si>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</si>
  <si>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</si>
  <si>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</si>
  <si>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</si>
  <si>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</si>
  <si>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</si>
  <si>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</si>
  <si>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</si>
  <si>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</si>
  <si>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</si>
  <si>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</si>
  <si>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</si>
  <si>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</si>
  <si>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</si>
  <si>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</si>
  <si>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</si>
  <si>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</si>
  <si>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</si>
  <si>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</si>
  <si>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</si>
  <si>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</si>
  <si>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</si>
  <si>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</si>
  <si>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</si>
  <si>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</si>
  <si>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</si>
  <si>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</si>
  <si>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</si>
  <si>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</si>
  <si>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</si>
  <si>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</si>
  <si>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</si>
  <si>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</si>
  <si>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</si>
  <si>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</si>
  <si>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</si>
  <si>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</si>
  <si>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</si>
  <si>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</si>
  <si>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</si>
  <si>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</si>
  <si>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</si>
  <si>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</si>
  <si>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</si>
  <si>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</si>
  <si>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</si>
  <si>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</si>
  <si>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</si>
  <si>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</si>
  <si>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</si>
  <si>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</si>
  <si>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</si>
  <si>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</si>
  <si>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</si>
  <si>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</si>
  <si>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</si>
  <si>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</si>
  <si>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</si>
  <si>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</si>
  <si>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</si>
  <si>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</si>
  <si>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</si>
  <si>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</si>
  <si>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</si>
  <si>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</si>
  <si>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</si>
  <si>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</si>
  <si>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</si>
  <si>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</si>
  <si>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</si>
  <si>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</si>
  <si>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</si>
  <si>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</si>
  <si>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</si>
  <si>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</si>
  <si>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</si>
  <si>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</si>
  <si>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</si>
  <si>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</si>
  <si>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</si>
  <si>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</si>
  <si>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</si>
  <si>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</si>
  <si>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</si>
  <si>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</si>
  <si>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</si>
  <si>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</si>
  <si>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</si>
  <si>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</si>
  <si>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</si>
  <si>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</si>
  <si>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</si>
  <si>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</si>
  <si>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</si>
  <si>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</si>
  <si>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</si>
  <si>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</si>
  <si>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</si>
  <si>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</si>
  <si>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</si>
  <si>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</si>
  <si>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</si>
  <si>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</si>
  <si>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</si>
  <si>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</si>
  <si>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</si>
  <si>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</si>
  <si>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</si>
  <si>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</si>
  <si>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</si>
  <si>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</si>
  <si>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</si>
  <si>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</si>
  <si>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</si>
  <si>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</si>
  <si>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</si>
  <si>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</si>
  <si>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</si>
  <si>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</si>
  <si>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</si>
  <si>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</si>
  <si>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</si>
  <si>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</si>
  <si>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</si>
  <si>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</si>
  <si>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</si>
  <si>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</si>
  <si>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</si>
  <si>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</si>
  <si>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</si>
  <si>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</si>
  <si>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</si>
  <si>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</si>
  <si>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</si>
  <si>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</si>
  <si>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</si>
  <si>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</si>
  <si>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</si>
  <si>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</si>
  <si>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</si>
  <si>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</si>
  <si>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</si>
  <si>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</si>
  <si>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</si>
  <si>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</si>
  <si>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</si>
  <si>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</si>
  <si>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</si>
  <si>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</si>
  <si>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</si>
  <si>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</si>
  <si>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</si>
  <si>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</si>
  <si>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</si>
  <si>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</si>
  <si>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</si>
  <si>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</si>
  <si>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</si>
  <si>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</si>
  <si>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</si>
  <si>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</si>
  <si>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</si>
  <si>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</si>
  <si>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</si>
  <si>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</si>
  <si>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</si>
  <si>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</si>
  <si>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</si>
  <si>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</si>
  <si>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</si>
  <si>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</si>
  <si>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</si>
  <si>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</si>
  <si>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</si>
  <si>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</si>
  <si>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</si>
  <si>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</si>
  <si>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</si>
  <si>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</si>
  <si>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</si>
  <si>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</si>
  <si>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</si>
  <si>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</si>
  <si>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</si>
  <si>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</si>
  <si>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</si>
  <si>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</si>
  <si>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</si>
  <si>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</si>
  <si>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</si>
  <si>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</si>
  <si>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</si>
  <si>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</si>
  <si>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</si>
  <si>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</si>
  <si>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</si>
  <si>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</si>
  <si>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</si>
  <si>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</si>
  <si>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</si>
  <si>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</si>
  <si>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</si>
  <si>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</si>
  <si>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</si>
  <si>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</si>
  <si>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</si>
  <si>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</si>
  <si>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</si>
  <si>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</si>
  <si>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</si>
  <si>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</si>
  <si>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</si>
  <si>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</si>
  <si>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</si>
  <si>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</si>
  <si>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</si>
  <si>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</si>
  <si>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</si>
  <si>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</si>
  <si>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</si>
  <si>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</si>
  <si>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</si>
  <si>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</si>
  <si>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</si>
  <si>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</si>
  <si>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</si>
  <si>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</si>
  <si>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</si>
  <si>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</si>
  <si>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</si>
  <si>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</si>
  <si>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</si>
  <si>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</si>
  <si>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</si>
  <si>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</si>
  <si>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</si>
  <si>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</si>
  <si>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</si>
  <si>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</si>
  <si>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</si>
  <si>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</si>
  <si>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</si>
  <si>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</si>
  <si>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</si>
  <si>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</si>
  <si>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</si>
  <si>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</si>
  <si>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</si>
  <si>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</si>
  <si>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</si>
  <si>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</si>
  <si>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</si>
  <si>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</si>
  <si>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</si>
  <si>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</si>
  <si>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</si>
  <si>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</si>
  <si>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</si>
  <si>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</si>
  <si>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</si>
  <si>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</si>
  <si>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</si>
  <si>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</si>
  <si>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</si>
  <si>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</si>
  <si>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</si>
  <si>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</si>
  <si>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</si>
  <si>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</si>
  <si>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</si>
  <si>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</si>
  <si>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</si>
  <si>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</si>
  <si>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</si>
  <si>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</si>
  <si>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</si>
  <si>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</si>
  <si>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</si>
  <si>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</si>
  <si>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</si>
  <si>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</si>
  <si>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</si>
  <si>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</si>
  <si>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</si>
  <si>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</si>
  <si>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</si>
  <si>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</si>
  <si>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</si>
  <si>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</si>
  <si>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</si>
  <si>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</si>
  <si>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</si>
  <si>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</si>
  <si>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</si>
  <si>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</si>
  <si>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</si>
  <si>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</si>
  <si>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</si>
  <si>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</si>
  <si>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</si>
  <si>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</si>
  <si>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</si>
  <si>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</si>
  <si>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</si>
  <si>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</si>
  <si>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</si>
  <si>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</si>
  <si>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</si>
  <si>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</si>
  <si>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</si>
  <si>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</si>
  <si>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</si>
  <si>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</si>
  <si>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</si>
  <si>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</si>
  <si>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</si>
  <si>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</si>
  <si>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</si>
  <si>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</si>
  <si>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</si>
  <si>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</si>
  <si>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</si>
  <si>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</si>
  <si>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</si>
  <si>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</si>
  <si>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</si>
  <si>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</si>
  <si>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</si>
  <si>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</si>
  <si>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</si>
  <si>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</si>
  <si>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</si>
  <si>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</si>
  <si>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</si>
  <si>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</si>
  <si>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</si>
  <si>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</si>
  <si>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</si>
  <si>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</si>
  <si>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</si>
  <si>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</si>
  <si>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</si>
  <si>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</si>
  <si>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</si>
  <si>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</si>
  <si>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</si>
  <si>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</si>
  <si>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</si>
  <si>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</si>
  <si>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</si>
  <si>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</si>
  <si>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</si>
  <si>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</si>
  <si>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</si>
  <si>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</si>
  <si>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</si>
  <si>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</si>
  <si>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</si>
  <si>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</si>
  <si>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</si>
  <si>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</si>
  <si>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</si>
  <si>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</si>
  <si>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</si>
  <si>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</si>
  <si>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</si>
  <si>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</si>
  <si>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</si>
  <si>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</si>
  <si>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</si>
  <si>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</si>
  <si>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</si>
  <si>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</si>
  <si>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</si>
  <si>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</si>
  <si>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</si>
  <si>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</si>
  <si>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</si>
  <si>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</si>
  <si>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</si>
  <si>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</si>
  <si>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</si>
  <si>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</si>
  <si>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</si>
  <si>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</si>
  <si>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</si>
  <si>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</si>
  <si>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</si>
  <si>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</si>
  <si>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</si>
  <si>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</si>
  <si>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</si>
  <si>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</si>
  <si>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</si>
  <si>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</si>
  <si>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</si>
  <si>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</si>
  <si>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</si>
  <si>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</si>
  <si>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</si>
  <si>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</si>
  <si>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</si>
  <si>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</si>
  <si>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</si>
  <si>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</si>
  <si>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</si>
  <si>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</si>
  <si>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</si>
  <si>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</si>
  <si>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</si>
  <si>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</si>
  <si>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</si>
  <si>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</si>
  <si>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</si>
  <si>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</si>
  <si>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</si>
  <si>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</si>
  <si>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</si>
  <si>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</si>
  <si>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</si>
  <si>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</si>
  <si>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</si>
  <si>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</si>
  <si>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</si>
  <si>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</si>
  <si>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</si>
  <si>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</si>
  <si>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</si>
  <si>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</si>
  <si>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</si>
  <si>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</si>
  <si>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</si>
  <si>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</si>
  <si>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</si>
  <si>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</si>
  <si>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</si>
  <si>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</si>
  <si>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</si>
  <si>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</si>
  <si>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</si>
  <si>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</si>
  <si>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</si>
  <si>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</si>
  <si>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</si>
  <si>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</si>
  <si>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</si>
  <si>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</si>
  <si>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</si>
  <si>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</si>
  <si>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</si>
  <si>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</si>
  <si>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</si>
  <si>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</si>
  <si>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</si>
  <si>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</si>
  <si>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</si>
  <si>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</si>
  <si>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</si>
  <si>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</si>
  <si>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</si>
  <si>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</si>
  <si>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</si>
  <si>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</si>
  <si>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</si>
  <si>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</si>
  <si>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</si>
  <si>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</si>
  <si>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</si>
  <si>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</si>
  <si>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</si>
  <si>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</si>
  <si>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</si>
  <si>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</si>
  <si>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</si>
  <si>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</si>
  <si>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</si>
  <si>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</si>
  <si>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</si>
  <si>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</si>
  <si>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</si>
  <si>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</si>
  <si>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</si>
  <si>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</si>
  <si>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</si>
  <si>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</si>
  <si>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</si>
  <si>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</si>
  <si>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</si>
  <si>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</si>
  <si>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</si>
  <si>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</si>
  <si>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</si>
  <si>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</si>
  <si>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</si>
  <si>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</si>
  <si>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</si>
  <si>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</si>
  <si>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</si>
  <si>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</si>
  <si>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</si>
  <si>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</si>
  <si>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</si>
  <si>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</si>
  <si>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</si>
  <si>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</si>
  <si>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</si>
  <si>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</si>
  <si>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</si>
  <si>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</si>
  <si>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</si>
  <si>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</si>
  <si>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</si>
  <si>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</si>
  <si>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</si>
  <si>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</si>
  <si>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</si>
  <si>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</si>
  <si>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</si>
  <si>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</si>
  <si>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</si>
  <si>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</si>
  <si>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</si>
  <si>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</si>
  <si>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</si>
  <si>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</si>
  <si>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</si>
  <si>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</si>
  <si>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</si>
  <si>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</si>
  <si>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</si>
  <si>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</si>
  <si>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</si>
  <si>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</si>
  <si>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</si>
  <si>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</si>
  <si>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</si>
  <si>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</si>
  <si>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</si>
  <si>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</si>
  <si>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</si>
  <si>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</si>
  <si>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</si>
  <si>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</si>
  <si>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</si>
  <si>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</si>
  <si>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</si>
  <si>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</si>
  <si>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</si>
  <si>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</si>
  <si>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</si>
  <si>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</si>
  <si>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</si>
  <si>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</si>
  <si>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</si>
  <si>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</si>
  <si>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</si>
  <si>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</si>
  <si>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</si>
  <si>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</si>
  <si>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</si>
  <si>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</si>
  <si>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</si>
  <si>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</si>
  <si>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</si>
  <si>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</si>
  <si>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</si>
  <si>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</si>
  <si>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</si>
  <si>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</si>
  <si>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</si>
  <si>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</si>
  <si>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</si>
  <si>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</si>
  <si>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</si>
  <si>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</si>
  <si>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</si>
  <si>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</si>
  <si>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</si>
  <si>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</si>
  <si>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</si>
  <si>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</si>
  <si>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</si>
  <si>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</si>
  <si>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</si>
  <si>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</si>
  <si>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</si>
  <si>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</si>
  <si>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</si>
  <si>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</si>
  <si>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</si>
  <si>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</si>
  <si>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</si>
  <si>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</si>
  <si>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</si>
  <si>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</si>
  <si>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</si>
  <si>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</si>
  <si>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</si>
  <si>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</si>
  <si>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</si>
  <si>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</si>
  <si>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</si>
  <si>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</si>
  <si>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</si>
  <si>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</si>
  <si>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</si>
  <si>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</si>
  <si>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</si>
  <si>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</si>
  <si>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</si>
  <si>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</si>
  <si>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</si>
  <si>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</si>
  <si>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</si>
  <si>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</si>
  <si>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</si>
  <si>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</si>
  <si>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</si>
  <si>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</si>
  <si>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</si>
  <si>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</si>
  <si>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</si>
  <si>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</si>
  <si>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</si>
  <si>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</si>
  <si>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</si>
  <si>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</si>
  <si>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</si>
  <si>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</si>
  <si>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</si>
  <si>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</si>
  <si>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</si>
  <si>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</si>
  <si>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</si>
  <si>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</si>
  <si>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</si>
  <si>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</si>
  <si>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</si>
  <si>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</si>
  <si>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</si>
  <si>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</si>
  <si>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</si>
  <si>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</si>
  <si>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</si>
  <si>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</si>
  <si>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</si>
  <si>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</si>
  <si>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</si>
  <si>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</si>
  <si>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</si>
  <si>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</si>
  <si>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</si>
  <si>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</si>
  <si>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</si>
  <si>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</si>
  <si>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</si>
  <si>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</si>
  <si>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</si>
  <si>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</si>
  <si>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</si>
  <si>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</si>
  <si>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</si>
  <si>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</si>
  <si>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</si>
  <si>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</si>
  <si>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</si>
  <si>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</si>
  <si>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</si>
  <si>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</si>
  <si>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</si>
  <si>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</si>
  <si>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</si>
  <si>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</si>
  <si>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</si>
  <si>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</si>
  <si>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</si>
  <si>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</si>
  <si>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</si>
  <si>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</si>
  <si>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</si>
  <si>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</si>
  <si>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</si>
  <si>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</si>
  <si>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</si>
  <si>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</si>
  <si>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</si>
  <si>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</si>
  <si>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</si>
  <si>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</si>
  <si>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</si>
  <si>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</si>
  <si>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</si>
  <si>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</si>
  <si>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</si>
  <si>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</si>
  <si>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</si>
  <si>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</si>
  <si>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</si>
  <si>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</si>
  <si>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</si>
  <si>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</si>
  <si>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</si>
  <si>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</si>
  <si>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</si>
  <si>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</si>
  <si>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</si>
  <si>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</si>
  <si>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</si>
  <si>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</si>
  <si>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</si>
  <si>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</si>
  <si>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</si>
  <si>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</si>
  <si>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</si>
  <si>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</si>
  <si>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</si>
  <si>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</si>
  <si>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</si>
  <si>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</si>
  <si>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</si>
  <si>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</si>
  <si>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</si>
  <si>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</si>
  <si>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</si>
  <si>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</si>
  <si>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</si>
  <si>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</si>
  <si>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</si>
  <si>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</si>
  <si>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</si>
  <si>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</si>
  <si>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</si>
  <si>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</si>
  <si>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</si>
  <si>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</si>
  <si>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</si>
  <si>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</si>
  <si>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</si>
  <si>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</si>
  <si>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</si>
  <si>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</si>
  <si>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</si>
  <si>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</si>
  <si>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</si>
  <si>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</si>
  <si>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</si>
  <si>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</si>
  <si>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</si>
  <si>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</si>
  <si>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</si>
  <si>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</si>
  <si>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</si>
  <si>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</si>
  <si>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</si>
  <si>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</si>
  <si>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</si>
  <si>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</si>
  <si>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</si>
  <si>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</si>
  <si>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</si>
  <si>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</si>
  <si>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</si>
  <si>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</si>
  <si>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</si>
  <si>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</si>
  <si>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</si>
  <si>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</si>
  <si>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</si>
  <si>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</si>
  <si>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</si>
  <si>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</si>
  <si>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</si>
  <si>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</si>
  <si>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</si>
  <si>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</si>
  <si>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</si>
  <si>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</si>
  <si>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</si>
  <si>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</si>
  <si>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</si>
  <si>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</si>
  <si>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</si>
  <si>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</si>
  <si>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</si>
  <si>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</si>
  <si>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</si>
  <si>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</si>
  <si>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</si>
  <si>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</si>
  <si>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</si>
  <si>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</si>
  <si>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</si>
  <si>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</si>
  <si>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</si>
  <si>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</si>
  <si>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</si>
  <si>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</si>
  <si>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</si>
  <si>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</si>
  <si>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</si>
  <si>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</si>
  <si>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</si>
  <si>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</si>
  <si>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</si>
  <si>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</si>
  <si>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</si>
  <si>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</si>
  <si>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</si>
  <si>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</si>
  <si>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</si>
  <si>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</si>
  <si>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</si>
  <si>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</si>
  <si>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</si>
  <si>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</si>
  <si>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</si>
  <si>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</si>
  <si>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</si>
  <si>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</si>
  <si>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</si>
  <si>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</si>
  <si>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</si>
  <si>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</si>
  <si>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</si>
  <si>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</si>
  <si>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</si>
  <si>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</si>
  <si>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</si>
  <si>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</si>
  <si>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</si>
  <si>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</si>
  <si>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</si>
  <si>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</si>
  <si>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</si>
  <si>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</si>
  <si>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</si>
  <si>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</si>
  <si>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</si>
  <si>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</si>
  <si>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</si>
  <si>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</si>
  <si>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</si>
  <si>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</si>
  <si>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</si>
  <si>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</si>
  <si>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</si>
  <si>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</si>
  <si>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</si>
  <si>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</si>
  <si>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</si>
  <si>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</si>
  <si>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</si>
  <si>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</si>
  <si>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</si>
  <si>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</si>
  <si>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</si>
  <si>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</si>
  <si>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</si>
  <si>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</si>
  <si>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</si>
  <si>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</si>
  <si>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</si>
  <si>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</si>
  <si>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</si>
  <si>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</si>
  <si>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</si>
  <si>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</si>
  <si>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</si>
  <si>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</si>
  <si>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</si>
  <si>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</si>
  <si>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</si>
  <si>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</si>
  <si>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</si>
  <si>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</si>
  <si>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</si>
  <si>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</si>
  <si>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</si>
  <si>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</si>
  <si>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</si>
  <si>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</si>
  <si>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</si>
  <si>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</si>
  <si>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</si>
  <si>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</si>
  <si>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</si>
  <si>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</si>
  <si>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</si>
  <si>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</si>
  <si>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</si>
  <si>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</si>
  <si>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</si>
  <si>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</si>
  <si>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</si>
  <si>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</si>
  <si>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</si>
  <si>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</si>
  <si>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</si>
  <si>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</si>
  <si>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</si>
  <si>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</si>
  <si>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</si>
  <si>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</si>
  <si>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</si>
  <si>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</si>
  <si>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</si>
  <si>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</si>
  <si>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</si>
  <si>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</si>
  <si>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</si>
  <si>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</si>
  <si>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</si>
  <si>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</si>
  <si>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</si>
  <si>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</si>
  <si>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</si>
  <si>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</si>
  <si>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</si>
  <si>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</si>
  <si>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</si>
  <si>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</si>
  <si>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</si>
  <si>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</si>
  <si>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</si>
  <si>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</si>
  <si>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</si>
  <si>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</si>
  <si>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</si>
  <si>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</si>
  <si>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</si>
  <si>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</si>
  <si>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</si>
  <si>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</si>
  <si>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</si>
  <si>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</si>
  <si>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</si>
  <si>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</si>
  <si>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</si>
  <si>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</si>
  <si>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</si>
  <si>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</si>
  <si>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</si>
  <si>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</si>
  <si>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</si>
  <si>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</si>
  <si>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</si>
  <si>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</si>
  <si>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</si>
  <si>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</si>
  <si>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</si>
  <si>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</si>
  <si>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</si>
  <si>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</si>
  <si>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</si>
  <si>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</si>
  <si>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</si>
  <si>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</si>
  <si>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</si>
  <si>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</si>
  <si>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</si>
  <si>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</si>
  <si>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</si>
  <si>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</si>
  <si>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</si>
  <si>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</si>
  <si>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</si>
  <si>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</si>
  <si>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</si>
  <si>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</si>
  <si>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</si>
  <si>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</si>
  <si>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</si>
  <si>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</si>
  <si>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</si>
  <si>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</si>
  <si>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</si>
  <si>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</si>
  <si>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</si>
  <si>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</si>
  <si>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</si>
  <si>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</si>
  <si>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</si>
  <si>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</si>
  <si>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</si>
  <si>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</si>
  <si>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</si>
  <si>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</si>
  <si>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</si>
  <si>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</si>
  <si>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</si>
  <si>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</si>
  <si>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</si>
  <si>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</si>
  <si>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</si>
  <si>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</si>
  <si>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</si>
  <si>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</si>
  <si>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</si>
  <si>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</si>
  <si>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</si>
  <si>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</si>
  <si>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</si>
  <si>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</si>
  <si>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</si>
  <si>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</si>
  <si>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</si>
  <si>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</si>
  <si>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</si>
  <si>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</si>
  <si>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</si>
  <si>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</si>
  <si>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</si>
  <si>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</si>
  <si>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</si>
  <si>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</si>
  <si>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</si>
  <si>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</si>
  <si>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</si>
  <si>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</si>
  <si>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</si>
  <si>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</si>
  <si>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</si>
  <si>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</si>
  <si>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</si>
  <si>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</si>
  <si>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</si>
  <si>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</si>
  <si>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</si>
  <si>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</si>
  <si>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</si>
  <si>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</si>
  <si>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</si>
  <si>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</si>
  <si>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</si>
  <si>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</si>
  <si>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</si>
  <si>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</si>
  <si>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</si>
  <si>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</si>
  <si>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</si>
  <si>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</si>
  <si>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</si>
  <si>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</si>
  <si>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</si>
  <si>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</si>
  <si>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</si>
  <si>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</si>
  <si>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</si>
  <si>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</si>
  <si>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</si>
  <si>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</si>
  <si>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</si>
  <si>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</si>
  <si>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</si>
  <si>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</si>
  <si>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</si>
  <si>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</si>
  <si>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</si>
  <si>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</si>
  <si>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</si>
  <si>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</si>
  <si>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</si>
  <si>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</si>
  <si>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</si>
  <si>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</si>
  <si>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</si>
  <si>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</si>
  <si>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</si>
  <si>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</si>
  <si>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</si>
  <si>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</si>
  <si>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</si>
  <si>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</si>
  <si>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</si>
  <si>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</si>
  <si>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</si>
  <si>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</si>
  <si>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</si>
  <si>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</si>
  <si>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</si>
  <si>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</si>
  <si>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</si>
  <si>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</si>
  <si>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</si>
  <si>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</si>
  <si>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</si>
  <si>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</si>
  <si>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</si>
  <si>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</si>
  <si>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</si>
  <si>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</si>
  <si>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</si>
  <si>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</si>
  <si>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</si>
  <si>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</si>
  <si>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</si>
  <si>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</si>
  <si>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</si>
  <si>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</si>
  <si>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</si>
  <si>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</si>
  <si>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</si>
  <si>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</si>
  <si>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</si>
  <si>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</si>
  <si>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</si>
  <si>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</si>
  <si>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</si>
  <si>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</si>
  <si>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</si>
  <si>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</si>
  <si>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</si>
  <si>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</si>
  <si>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</si>
  <si>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</si>
  <si>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</si>
  <si>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</si>
  <si>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</si>
  <si>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</si>
  <si>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</si>
  <si>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</si>
  <si>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</si>
  <si>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</si>
  <si>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</si>
  <si>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</si>
  <si>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</si>
  <si>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</si>
  <si>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</si>
  <si>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</si>
  <si>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</si>
  <si>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</si>
  <si>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</si>
  <si>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</si>
  <si>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</si>
  <si>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</si>
  <si>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</si>
  <si>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</si>
  <si>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</si>
  <si>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</si>
  <si>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</si>
  <si>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</si>
  <si>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</si>
  <si>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</si>
  <si>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</si>
  <si>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</si>
  <si>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</si>
  <si>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</si>
  <si>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</si>
  <si>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</si>
  <si>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</si>
  <si>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</si>
  <si>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</si>
  <si>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</si>
  <si>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</si>
  <si>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</si>
  <si>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</si>
  <si>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</si>
  <si>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</si>
  <si>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</si>
  <si>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</si>
  <si>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</si>
  <si>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</si>
  <si>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</si>
  <si>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</si>
  <si>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</si>
  <si>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</si>
  <si>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</si>
  <si>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</si>
  <si>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</si>
  <si>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</si>
  <si>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</si>
  <si>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</si>
  <si>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</si>
  <si>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</si>
  <si>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</si>
  <si>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</si>
  <si>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</si>
  <si>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</si>
  <si>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</si>
  <si>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</si>
  <si>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</si>
  <si>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</si>
  <si>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</si>
  <si>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</si>
  <si>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</si>
  <si>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</si>
  <si>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</si>
  <si>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</si>
  <si>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</si>
  <si>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</si>
  <si>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</si>
  <si>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CM5-9</t>
  </si>
  <si>
    <t>CJ5-T</t>
  </si>
  <si>
    <t>KOORDINAT : -6.952386, 110.726812</t>
  </si>
  <si>
    <t xml:space="preserve">MASY. DESA BALEROMO </t>
  </si>
  <si>
    <t>Daya 900 VA</t>
  </si>
  <si>
    <t>DS BALEROMO, KEC DEMPET</t>
  </si>
  <si>
    <t>Staf teknik</t>
  </si>
  <si>
    <t>TL Teknik</t>
  </si>
  <si>
    <t>MULP</t>
  </si>
  <si>
    <t>Mbag Ren</t>
  </si>
  <si>
    <t>Demak, 21 Februari 2024</t>
  </si>
  <si>
    <t>MANAGER ULP</t>
  </si>
  <si>
    <t>AHMAD SUHENDRO</t>
  </si>
  <si>
    <t>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</si>
</sst>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41" fontId="23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6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167" fontId="143" fillId="40" borderId="85" xfId="2672" applyFont="1" applyFill="1" applyBorder="1" applyAlignment="1" applyProtection="1">
      <alignment horizontal="right" vertical="center" wrapText="1"/>
      <protection locked="0"/>
    </xf>
    <xf numFmtId="167" fontId="143" fillId="40" borderId="87" xfId="2672" applyFont="1" applyFill="1" applyBorder="1" applyAlignment="1" applyProtection="1">
      <alignment horizontal="right" vertical="center"/>
      <protection locked="0"/>
    </xf>
    <xf numFmtId="169" fontId="143" fillId="40" borderId="87" xfId="2672" applyNumberFormat="1" applyFont="1" applyFill="1" applyBorder="1" applyAlignment="1" applyProtection="1">
      <alignment horizontal="right" vertical="center"/>
      <protection locked="0"/>
    </xf>
    <xf numFmtId="169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130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8" fontId="177" fillId="0" borderId="73" xfId="1450" applyNumberFormat="1" applyFont="1" applyBorder="1" applyAlignment="1">
      <alignment horizontal="left" vertical="center"/>
    </xf>
    <xf numFmtId="208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138</xdr:row>
      <xdr:rowOff>81642</xdr:rowOff>
    </xdr:from>
    <xdr:to>
      <xdr:col>12</xdr:col>
      <xdr:colOff>41108</xdr:colOff>
      <xdr:row>141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198783</xdr:colOff>
      <xdr:row>20</xdr:row>
      <xdr:rowOff>66261</xdr:rowOff>
    </xdr:from>
    <xdr:to>
      <xdr:col>14</xdr:col>
      <xdr:colOff>339587</xdr:colOff>
      <xdr:row>20</xdr:row>
      <xdr:rowOff>91110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4F533D8-576B-4207-BA07-0B9ED3B838E4}"/>
            </a:ext>
          </a:extLst>
        </xdr:cNvPr>
        <xdr:cNvCxnSpPr>
          <a:cxnSpLocks/>
        </xdr:cNvCxnSpPr>
      </xdr:nvCxnSpPr>
      <xdr:spPr>
        <a:xfrm flipV="1">
          <a:off x="2799522" y="3097696"/>
          <a:ext cx="2426804" cy="24849"/>
        </a:xfrm>
        <a:prstGeom prst="line">
          <a:avLst/>
        </a:prstGeom>
        <a:ln w="1905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</xdr:row>
      <xdr:rowOff>124240</xdr:rowOff>
    </xdr:from>
    <xdr:to>
      <xdr:col>14</xdr:col>
      <xdr:colOff>331304</xdr:colOff>
      <xdr:row>17</xdr:row>
      <xdr:rowOff>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C86B990-6697-4250-B8A2-0B3BF643F6A6}"/>
            </a:ext>
          </a:extLst>
        </xdr:cNvPr>
        <xdr:cNvCxnSpPr>
          <a:cxnSpLocks/>
        </xdr:cNvCxnSpPr>
      </xdr:nvCxnSpPr>
      <xdr:spPr>
        <a:xfrm flipV="1">
          <a:off x="2791239" y="2559327"/>
          <a:ext cx="2426804" cy="24849"/>
        </a:xfrm>
        <a:prstGeom prst="line">
          <a:avLst/>
        </a:prstGeom>
        <a:ln w="1905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82827</xdr:colOff>
      <xdr:row>15</xdr:row>
      <xdr:rowOff>16565</xdr:rowOff>
    </xdr:from>
    <xdr:to>
      <xdr:col>11</xdr:col>
      <xdr:colOff>91110</xdr:colOff>
      <xdr:row>41</xdr:row>
      <xdr:rowOff>115956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3826566" y="2302565"/>
          <a:ext cx="8283" cy="400050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233598</xdr:colOff>
      <xdr:row>38</xdr:row>
      <xdr:rowOff>52707</xdr:rowOff>
    </xdr:from>
    <xdr:to>
      <xdr:col>10</xdr:col>
      <xdr:colOff>320405</xdr:colOff>
      <xdr:row>39</xdr:row>
      <xdr:rowOff>3467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73A8EA-BA11-AD90-0ECC-954795318FC2}"/>
            </a:ext>
          </a:extLst>
        </xdr:cNvPr>
        <xdr:cNvGrpSpPr/>
      </xdr:nvGrpSpPr>
      <xdr:grpSpPr>
        <a:xfrm>
          <a:off x="3586398" y="5882007"/>
          <a:ext cx="86807" cy="103160"/>
          <a:chOff x="3725636" y="1945820"/>
          <a:chExt cx="153760" cy="144237"/>
        </a:xfrm>
        <a:noFill/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7D6B541E-C8F8-198A-FD76-F3F92156CD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6A6733D-C8BE-0F91-0D39-9653073E4D5B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2747B68-3FB6-9CED-9518-9F298FC24D93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246401</xdr:colOff>
      <xdr:row>32</xdr:row>
      <xdr:rowOff>103407</xdr:rowOff>
    </xdr:from>
    <xdr:to>
      <xdr:col>10</xdr:col>
      <xdr:colOff>256761</xdr:colOff>
      <xdr:row>40</xdr:row>
      <xdr:rowOff>107674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3AFF61-733A-B7CF-0C54-EF04A0C68D3E}"/>
            </a:ext>
          </a:extLst>
        </xdr:cNvPr>
        <xdr:cNvCxnSpPr>
          <a:endCxn id="63" idx="3"/>
        </xdr:cNvCxnSpPr>
      </xdr:nvCxnSpPr>
      <xdr:spPr>
        <a:xfrm flipH="1" flipV="1">
          <a:off x="3609140" y="4915603"/>
          <a:ext cx="10360" cy="1230093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233822</xdr:colOff>
      <xdr:row>32</xdr:row>
      <xdr:rowOff>16252</xdr:rowOff>
    </xdr:from>
    <xdr:to>
      <xdr:col>10</xdr:col>
      <xdr:colOff>319720</xdr:colOff>
      <xdr:row>32</xdr:row>
      <xdr:rowOff>118361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3586622" y="4912102"/>
          <a:ext cx="85898" cy="1021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17681</xdr:colOff>
      <xdr:row>31</xdr:row>
      <xdr:rowOff>29957</xdr:rowOff>
    </xdr:from>
    <xdr:to>
      <xdr:col>10</xdr:col>
      <xdr:colOff>160556</xdr:colOff>
      <xdr:row>32</xdr:row>
      <xdr:rowOff>29956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3380420" y="4693066"/>
          <a:ext cx="142875" cy="14908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327480</xdr:colOff>
      <xdr:row>33</xdr:row>
      <xdr:rowOff>41093</xdr:rowOff>
    </xdr:from>
    <xdr:to>
      <xdr:col>10</xdr:col>
      <xdr:colOff>114999</xdr:colOff>
      <xdr:row>41</xdr:row>
      <xdr:rowOff>8282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2928219" y="5002376"/>
          <a:ext cx="549519" cy="119301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ysClr val="windowText" lastClr="000000"/>
            </a:solidFill>
          </a:endParaRPr>
        </a:p>
        <a:p>
          <a:pPr algn="l"/>
          <a:r>
            <a:rPr lang="en-US" sz="600">
              <a:solidFill>
                <a:sysClr val="windowText" lastClr="000000"/>
              </a:solidFill>
            </a:rPr>
            <a:t>1 C12-200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1 CC8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CJ-5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55431</xdr:colOff>
      <xdr:row>9</xdr:row>
      <xdr:rowOff>14973</xdr:rowOff>
    </xdr:from>
    <xdr:to>
      <xdr:col>10</xdr:col>
      <xdr:colOff>223631</xdr:colOff>
      <xdr:row>13</xdr:row>
      <xdr:rowOff>124240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268EA2B-4116-4A91-BA97-F944E1C471D7}"/>
            </a:ext>
          </a:extLst>
        </xdr:cNvPr>
        <xdr:cNvSpPr/>
      </xdr:nvSpPr>
      <xdr:spPr>
        <a:xfrm>
          <a:off x="3037170" y="1389886"/>
          <a:ext cx="549200" cy="72218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218216</xdr:colOff>
      <xdr:row>25</xdr:row>
      <xdr:rowOff>13699</xdr:rowOff>
    </xdr:from>
    <xdr:to>
      <xdr:col>10</xdr:col>
      <xdr:colOff>306582</xdr:colOff>
      <xdr:row>25</xdr:row>
      <xdr:rowOff>113545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19565E4D-EAAB-478D-B960-772C31CCA23E}"/>
            </a:ext>
          </a:extLst>
        </xdr:cNvPr>
        <xdr:cNvGrpSpPr/>
      </xdr:nvGrpSpPr>
      <xdr:grpSpPr>
        <a:xfrm>
          <a:off x="3571016" y="3852274"/>
          <a:ext cx="88366" cy="998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A4919925-DAE7-C1CE-FC0F-927B3DFC85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4CAE7FA-4E8B-71C5-4FAB-C1CDDA2B2344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4A82143F-2377-BFEC-CCAC-03155A0DE60E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186819</xdr:colOff>
      <xdr:row>10</xdr:row>
      <xdr:rowOff>132522</xdr:rowOff>
    </xdr:from>
    <xdr:to>
      <xdr:col>12</xdr:col>
      <xdr:colOff>339586</xdr:colOff>
      <xdr:row>13</xdr:row>
      <xdr:rowOff>99163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10BEAD57-AB55-4974-B073-F60ABF0CCFFB}"/>
            </a:ext>
          </a:extLst>
        </xdr:cNvPr>
        <xdr:cNvSpPr/>
      </xdr:nvSpPr>
      <xdr:spPr>
        <a:xfrm>
          <a:off x="3930558" y="1656522"/>
          <a:ext cx="533767" cy="430467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MUSHOLA</a:t>
          </a:r>
        </a:p>
      </xdr:txBody>
    </xdr:sp>
    <xdr:clientData/>
  </xdr:twoCellAnchor>
  <xdr:twoCellAnchor>
    <xdr:from>
      <xdr:col>10</xdr:col>
      <xdr:colOff>235464</xdr:colOff>
      <xdr:row>18</xdr:row>
      <xdr:rowOff>71468</xdr:rowOff>
    </xdr:from>
    <xdr:to>
      <xdr:col>10</xdr:col>
      <xdr:colOff>323830</xdr:colOff>
      <xdr:row>19</xdr:row>
      <xdr:rowOff>20762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3588264" y="2843243"/>
          <a:ext cx="88366" cy="1016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280900</xdr:colOff>
      <xdr:row>13</xdr:row>
      <xdr:rowOff>53482</xdr:rowOff>
    </xdr:from>
    <xdr:to>
      <xdr:col>10</xdr:col>
      <xdr:colOff>369266</xdr:colOff>
      <xdr:row>13</xdr:row>
      <xdr:rowOff>148550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CA93CEDC-AB20-40A5-9ED1-C692FE17A759}"/>
            </a:ext>
          </a:extLst>
        </xdr:cNvPr>
        <xdr:cNvGrpSpPr/>
      </xdr:nvGrpSpPr>
      <xdr:grpSpPr>
        <a:xfrm>
          <a:off x="3633700" y="2063257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7" name="Oval 186">
            <a:extLst>
              <a:ext uri="{FF2B5EF4-FFF2-40B4-BE49-F238E27FC236}">
                <a16:creationId xmlns:a16="http://schemas.microsoft.com/office/drawing/2014/main" id="{9F794644-9D28-3437-BD74-0A8A0467B28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3CDF7AFB-6F29-4A89-9F2E-84C2B84E65AD}"/>
              </a:ext>
            </a:extLst>
          </xdr:cNvPr>
          <xdr:cNvCxnSpPr>
            <a:stCxn id="187" idx="1"/>
            <a:endCxn id="1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AB872ABF-01E9-372F-5640-AAE18D7D9ABF}"/>
              </a:ext>
            </a:extLst>
          </xdr:cNvPr>
          <xdr:cNvCxnSpPr>
            <a:stCxn id="187" idx="3"/>
            <a:endCxn id="1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198496</xdr:colOff>
      <xdr:row>15</xdr:row>
      <xdr:rowOff>41699</xdr:rowOff>
    </xdr:from>
    <xdr:to>
      <xdr:col>11</xdr:col>
      <xdr:colOff>3997</xdr:colOff>
      <xdr:row>17</xdr:row>
      <xdr:rowOff>78543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5128873">
          <a:off x="3486977" y="2401957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82827</xdr:colOff>
      <xdr:row>18</xdr:row>
      <xdr:rowOff>16567</xdr:rowOff>
    </xdr:from>
    <xdr:to>
      <xdr:col>10</xdr:col>
      <xdr:colOff>198783</xdr:colOff>
      <xdr:row>20</xdr:row>
      <xdr:rowOff>49697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F2646D0A-8BBD-4B22-99A2-FFB1460A2188}"/>
            </a:ext>
          </a:extLst>
        </xdr:cNvPr>
        <xdr:cNvSpPr/>
      </xdr:nvSpPr>
      <xdr:spPr>
        <a:xfrm>
          <a:off x="3064566" y="2749828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9</xdr:col>
      <xdr:colOff>41412</xdr:colOff>
      <xdr:row>24</xdr:row>
      <xdr:rowOff>140804</xdr:rowOff>
    </xdr:from>
    <xdr:to>
      <xdr:col>10</xdr:col>
      <xdr:colOff>157368</xdr:colOff>
      <xdr:row>27</xdr:row>
      <xdr:rowOff>24848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AE758DF4-1920-478A-A459-F755C3DE7B89}"/>
            </a:ext>
          </a:extLst>
        </xdr:cNvPr>
        <xdr:cNvSpPr/>
      </xdr:nvSpPr>
      <xdr:spPr>
        <a:xfrm>
          <a:off x="3023151" y="3768587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CJ7-T</a:t>
          </a:r>
        </a:p>
      </xdr:txBody>
    </xdr:sp>
    <xdr:clientData/>
  </xdr:twoCellAnchor>
  <xdr:twoCellAnchor>
    <xdr:from>
      <xdr:col>12</xdr:col>
      <xdr:colOff>356152</xdr:colOff>
      <xdr:row>10</xdr:row>
      <xdr:rowOff>132522</xdr:rowOff>
    </xdr:from>
    <xdr:to>
      <xdr:col>14</xdr:col>
      <xdr:colOff>127919</xdr:colOff>
      <xdr:row>13</xdr:row>
      <xdr:rowOff>99163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8FA9E4D7-5F38-4A82-8A5C-84DDF767FA0D}"/>
            </a:ext>
          </a:extLst>
        </xdr:cNvPr>
        <xdr:cNvSpPr/>
      </xdr:nvSpPr>
      <xdr:spPr>
        <a:xfrm>
          <a:off x="4480891" y="1656522"/>
          <a:ext cx="533767" cy="430467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RUMAH</a:t>
          </a:r>
        </a:p>
      </xdr:txBody>
    </xdr:sp>
    <xdr:clientData/>
  </xdr:twoCellAnchor>
  <xdr:twoCellAnchor>
    <xdr:from>
      <xdr:col>8</xdr:col>
      <xdr:colOff>173936</xdr:colOff>
      <xdr:row>15</xdr:row>
      <xdr:rowOff>0</xdr:rowOff>
    </xdr:from>
    <xdr:to>
      <xdr:col>14</xdr:col>
      <xdr:colOff>314740</xdr:colOff>
      <xdr:row>15</xdr:row>
      <xdr:rowOff>24849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679C808B-6483-4A6A-831B-ACF553BDC982}"/>
            </a:ext>
          </a:extLst>
        </xdr:cNvPr>
        <xdr:cNvCxnSpPr>
          <a:cxnSpLocks/>
        </xdr:cNvCxnSpPr>
      </xdr:nvCxnSpPr>
      <xdr:spPr>
        <a:xfrm flipV="1">
          <a:off x="2774675" y="2286000"/>
          <a:ext cx="2426804" cy="2484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276771</xdr:colOff>
      <xdr:row>13</xdr:row>
      <xdr:rowOff>134628</xdr:rowOff>
    </xdr:from>
    <xdr:to>
      <xdr:col>10</xdr:col>
      <xdr:colOff>293841</xdr:colOff>
      <xdr:row>32</xdr:row>
      <xdr:rowOff>16252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2753E1D3-C9A3-423D-C827-0DFEF828CB9F}"/>
            </a:ext>
          </a:extLst>
        </xdr:cNvPr>
        <xdr:cNvCxnSpPr>
          <a:stCxn id="187" idx="3"/>
          <a:endCxn id="63" idx="0"/>
        </xdr:cNvCxnSpPr>
      </xdr:nvCxnSpPr>
      <xdr:spPr>
        <a:xfrm flipH="1">
          <a:off x="3639510" y="2122454"/>
          <a:ext cx="17070" cy="270599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22</xdr:row>
      <xdr:rowOff>1</xdr:rowOff>
    </xdr:from>
    <xdr:to>
      <xdr:col>10</xdr:col>
      <xdr:colOff>377001</xdr:colOff>
      <xdr:row>24</xdr:row>
      <xdr:rowOff>36845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D7CC171-C344-4E88-A02A-CBA1DEF89DBA}"/>
            </a:ext>
          </a:extLst>
        </xdr:cNvPr>
        <xdr:cNvSpPr/>
      </xdr:nvSpPr>
      <xdr:spPr>
        <a:xfrm rot="5128873">
          <a:off x="3478981" y="3403868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198783</xdr:colOff>
      <xdr:row>27</xdr:row>
      <xdr:rowOff>74543</xdr:rowOff>
    </xdr:from>
    <xdr:to>
      <xdr:col>11</xdr:col>
      <xdr:colOff>4284</xdr:colOff>
      <xdr:row>29</xdr:row>
      <xdr:rowOff>111387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38271C3-BACD-4FAF-987A-0317565330B3}"/>
            </a:ext>
          </a:extLst>
        </xdr:cNvPr>
        <xdr:cNvSpPr/>
      </xdr:nvSpPr>
      <xdr:spPr>
        <a:xfrm rot="5128873">
          <a:off x="3487264" y="4223844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7</xdr:col>
      <xdr:colOff>372717</xdr:colOff>
      <xdr:row>32</xdr:row>
      <xdr:rowOff>74544</xdr:rowOff>
    </xdr:from>
    <xdr:to>
      <xdr:col>8</xdr:col>
      <xdr:colOff>78524</xdr:colOff>
      <xdr:row>33</xdr:row>
      <xdr:rowOff>25304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80044E9-B3A8-4EC3-A34A-2D91C4887E35}"/>
            </a:ext>
          </a:extLst>
        </xdr:cNvPr>
        <xdr:cNvGrpSpPr/>
      </xdr:nvGrpSpPr>
      <xdr:grpSpPr>
        <a:xfrm>
          <a:off x="2582517" y="4970394"/>
          <a:ext cx="86807" cy="103160"/>
          <a:chOff x="3725636" y="1945820"/>
          <a:chExt cx="153760" cy="144237"/>
        </a:xfrm>
        <a:noFill/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2CD5E932-106F-B4A4-91C7-06D4EC654F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96E49A0E-E9A7-9795-B991-2DF8DEE1AF63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8FD80E8-CB2A-7941-8B77-2090AE77670D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65811</xdr:colOff>
      <xdr:row>32</xdr:row>
      <xdr:rowOff>89166</xdr:rowOff>
    </xdr:from>
    <xdr:to>
      <xdr:col>10</xdr:col>
      <xdr:colOff>246401</xdr:colOff>
      <xdr:row>32</xdr:row>
      <xdr:rowOff>103407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AAF2C56B-3052-4EA6-90D3-08B83853C137}"/>
            </a:ext>
          </a:extLst>
        </xdr:cNvPr>
        <xdr:cNvCxnSpPr>
          <a:stCxn id="26" idx="7"/>
          <a:endCxn id="63" idx="3"/>
        </xdr:cNvCxnSpPr>
      </xdr:nvCxnSpPr>
      <xdr:spPr>
        <a:xfrm>
          <a:off x="2666550" y="4901362"/>
          <a:ext cx="942590" cy="1424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323022</xdr:colOff>
      <xdr:row>11</xdr:row>
      <xdr:rowOff>124239</xdr:rowOff>
    </xdr:from>
    <xdr:to>
      <xdr:col>10</xdr:col>
      <xdr:colOff>325083</xdr:colOff>
      <xdr:row>13</xdr:row>
      <xdr:rowOff>53482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2D744704-BC85-4AD9-BA8B-79C8C806EEB9}"/>
            </a:ext>
          </a:extLst>
        </xdr:cNvPr>
        <xdr:cNvCxnSpPr>
          <a:stCxn id="187" idx="0"/>
        </xdr:cNvCxnSpPr>
      </xdr:nvCxnSpPr>
      <xdr:spPr>
        <a:xfrm flipH="1" flipV="1">
          <a:off x="3685761" y="1797326"/>
          <a:ext cx="2061" cy="2439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571499</xdr:colOff>
      <xdr:row>9</xdr:row>
      <xdr:rowOff>13607</xdr:rowOff>
    </xdr:from>
    <xdr:to>
      <xdr:col>20</xdr:col>
      <xdr:colOff>0</xdr:colOff>
      <xdr:row>52</xdr:row>
      <xdr:rowOff>130759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479EF-5A93-27A2-EF28-00270029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1632857"/>
          <a:ext cx="9837965" cy="71384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6" t="s">
        <v>1134</v>
      </c>
      <c r="C4" s="536"/>
      <c r="D4" s="536"/>
      <c r="E4" s="536"/>
      <c r="F4" s="536"/>
      <c r="G4" s="536"/>
      <c r="H4" s="53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7" t="s">
        <v>0</v>
      </c>
      <c r="C7" s="537" t="s">
        <v>1</v>
      </c>
      <c r="D7" s="538" t="s">
        <v>42</v>
      </c>
      <c r="E7" s="538" t="s">
        <v>43</v>
      </c>
      <c r="F7" s="538" t="s">
        <v>1135</v>
      </c>
      <c r="G7" s="539" t="s">
        <v>41</v>
      </c>
      <c r="H7" s="535" t="s">
        <v>1042</v>
      </c>
      <c r="I7" s="535" t="s">
        <v>1137</v>
      </c>
      <c r="J7" s="535" t="s">
        <v>1026</v>
      </c>
      <c r="K7" s="529" t="s">
        <v>1024</v>
      </c>
      <c r="L7" s="530"/>
    </row>
    <row r="8" spans="1:12" ht="15" customHeight="1">
      <c r="B8" s="537"/>
      <c r="C8" s="537"/>
      <c r="D8" s="538"/>
      <c r="E8" s="538"/>
      <c r="F8" s="538"/>
      <c r="G8" s="539"/>
      <c r="H8" s="535"/>
      <c r="I8" s="535"/>
      <c r="J8" s="535"/>
      <c r="K8" s="531"/>
      <c r="L8" s="532"/>
    </row>
    <row r="9" spans="1:12" ht="15" customHeight="1">
      <c r="B9" s="537"/>
      <c r="C9" s="537"/>
      <c r="D9" s="538"/>
      <c r="E9" s="538"/>
      <c r="F9" s="538"/>
      <c r="G9" s="539"/>
      <c r="H9" s="535"/>
      <c r="I9" s="535"/>
      <c r="J9" s="535"/>
      <c r="K9" s="533"/>
      <c r="L9" s="53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4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160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20</v>
      </c>
      <c r="G18" s="41">
        <f ca="1">IF(ISERROR(OFFSET('HARGA SATUAN'!$I$6,MATCH(C18,'HARGA SATUAN'!$C$7:$C$1492,0),0)),"",OFFSET('HARGA SATUAN'!$I$6,MATCH(C18,'HARGA SATUAN'!$C$7:$C$1492,0),0))</f>
        <v>4300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SUMIFS(RAB!$F$14:$F$122,RAB!$C$14:$C$122,C714)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SUMIFS(RAB!$F$14:$F$122,RAB!$C$14:$C$122,C715)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SUMIFS(RAB!$F$14:$F$122,RAB!$C$14:$C$122,C716)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SUMIFS(RAB!$F$14:$F$122,RAB!$C$14:$C$122,C717)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SUMIFS(RAB!$F$14:$F$122,RAB!$C$14:$C$122,C718)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SUMIFS(RAB!$F$14:$F$122,RAB!$C$14:$C$122,C719)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SUMIFS(RAB!$F$14:$F$122,RAB!$C$14:$C$122,C720)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SUMIFS(RAB!$F$14:$F$122,RAB!$C$14:$C$122,C721)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SUMIFS(RAB!$F$14:$F$122,RAB!$C$14:$C$122,C722)</f>
        <v>1</v>
      </c>
      <c r="E722" s="26">
        <f t="shared" ca="1" si="33"/>
        <v>1</v>
      </c>
      <c r="F722" s="26">
        <f ca="1">IF(D722=0,0,SUM($E$713:E722))</f>
        <v>2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SUMIFS(RAB!$F$14:$F$122,RAB!$C$14:$C$122,C723)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SUMIFS(RAB!$F$14:$F$122,RAB!$C$14:$C$122,C724)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SUMIFS(RAB!$F$14:$F$122,RAB!$C$14:$C$122,C725)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SUMIFS(RAB!$F$14:$F$122,RAB!$C$14:$C$122,C726)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SUMIFS(RAB!$F$14:$F$122,RAB!$C$14:$C$122,C727)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SUMIFS(RAB!$F$14:$F$122,RAB!$C$14:$C$122,C728)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SUMIFS(RAB!$F$14:$F$122,RAB!$C$14:$C$122,C729)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SUMIFS(RAB!$F$14:$F$122,RAB!$C$14:$C$122,C730)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SUMIFS(RAB!$F$14:$F$122,RAB!$C$14:$C$122,C731)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SUMIFS(RAB!$F$14:$F$122,RAB!$C$14:$C$122,C732)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SUMIFS(RAB!$F$14:$F$122,RAB!$C$14:$C$122,C733)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SUMIFS(RAB!$F$14:$F$122,RAB!$C$14:$C$122,C734)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SUMIFS(RAB!$F$14:$F$122,RAB!$C$14:$C$122,C735)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SUMIFS(RAB!$F$14:$F$122,RAB!$C$14:$C$122,C736)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SUMIFS(RAB!$F$14:$F$122,RAB!$C$14:$C$122,C737)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SUMIFS(RAB!$F$14:$F$122,RAB!$C$14:$C$122,C738)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SUMIFS(RAB!$F$14:$F$122,RAB!$C$14:$C$122,C739)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SUMIFS(RAB!$F$14:$F$122,RAB!$C$14:$C$122,C740)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SUMIFS(RAB!$F$14:$F$122,RAB!$C$14:$C$122,C741)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SUMIFS(RAB!$F$14:$F$122,RAB!$C$14:$C$122,C742)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SUMIFS(RAB!$F$14:$F$122,RAB!$C$14:$C$122,C743)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SUMIFS(RAB!$F$14:$F$122,RAB!$C$14:$C$122,C744)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SUMIFS(RAB!$F$14:$F$122,RAB!$C$14:$C$122,C745)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SUMIFS(RAB!$F$14:$F$122,RAB!$C$14:$C$122,C746)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SUMIFS(RAB!$F$14:$F$122,RAB!$C$14:$C$122,C747)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SUMIFS(RAB!$F$14:$F$122,RAB!$C$14:$C$122,C748)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SUMIFS(RAB!$F$14:$F$122,RAB!$C$14:$C$122,C749)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SUMIFS(RAB!$F$14:$F$122,RAB!$C$14:$C$122,C750)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SUMIFS(RAB!$F$14:$F$122,RAB!$C$14:$C$122,C751)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SUMIFS(RAB!$F$14:$F$122,RAB!$C$14:$C$122,C752)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SUMIFS(RAB!$F$14:$F$122,RAB!$C$14:$C$122,C753)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SUMIFS(RAB!$F$14:$F$122,RAB!$C$14:$C$122,C754)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SUMIFS(RAB!$F$14:$F$122,RAB!$C$14:$C$122,C755)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SUMIFS(RAB!$F$14:$F$122,RAB!$C$14:$C$122,C756)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SUMIFS(RAB!$F$14:$F$122,RAB!$C$14:$C$122,C757)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SUMIFS(RAB!$F$14:$F$122,RAB!$C$14:$C$122,C758)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SUMIFS(RAB!$F$14:$F$122,RAB!$C$14:$C$122,C759)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SUMIFS(RAB!$F$14:$F$122,RAB!$C$14:$C$122,C760)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SUMIFS(RAB!$F$14:$F$122,RAB!$C$14:$C$122,C761)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SUMIFS(RAB!$F$14:$F$122,RAB!$C$14:$C$122,C762)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SUMIFS(RAB!$F$14:$F$122,RAB!$C$14:$C$122,C763)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SUMIFS(RAB!$F$14:$F$122,RAB!$C$14:$C$122,C764)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SUMIFS(RAB!$F$14:$F$122,RAB!$C$14:$C$122,C765)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SUMIFS(RAB!$F$14:$F$122,RAB!$C$14:$C$122,C766)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SUMIFS(RAB!$F$14:$F$122,RAB!$C$14:$C$122,C767)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SUMIFS(RAB!$F$14:$F$122,RAB!$C$14:$C$122,C768)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SUMIFS(RAB!$F$14:$F$122,RAB!$C$14:$C$122,C769)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SUMIFS(RAB!$F$14:$F$122,RAB!$C$14:$C$122,C770)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SUMIFS(RAB!$F$14:$F$122,RAB!$C$14:$C$122,C771)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SUMIFS(RAB!$F$14:$F$122,RAB!$C$14:$C$122,C772)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SUMIFS(RAB!$F$14:$F$122,RAB!$C$14:$C$122,C773)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SUMIFS(RAB!$F$14:$F$122,RAB!$C$14:$C$122,C774)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SUMIFS(RAB!$F$14:$F$122,RAB!$C$14:$C$122,C775)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SUMIFS(RAB!$F$14:$F$122,RAB!$C$14:$C$122,C776)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SUMIFS(RAB!$F$14:$F$122,RAB!$C$14:$C$122,C777)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SUMIFS(RAB!$F$14:$F$122,RAB!$C$14:$C$122,C778)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SUMIFS(RAB!$F$14:$F$122,RAB!$C$14:$C$122,C779)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SUMIFS(RAB!$F$14:$F$122,RAB!$C$14:$C$122,C780)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SUMIFS(RAB!$F$14:$F$122,RAB!$C$14:$C$122,C781)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SUMIFS(RAB!$F$14:$F$122,RAB!$C$14:$C$122,C782)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SUMIFS(RAB!$F$14:$F$122,RAB!$C$14:$C$122,C783)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SUMIFS(RAB!$F$14:$F$122,RAB!$C$14:$C$122,C784)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SUMIFS(RAB!$F$14:$F$122,RAB!$C$14:$C$122,C785)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SUMIFS(RAB!$F$14:$F$122,RAB!$C$14:$C$122,C786)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SUMIFS(RAB!$F$14:$F$122,RAB!$C$14:$C$122,C787)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SUMIFS(RAB!$F$14:$F$122,RAB!$C$14:$C$122,C788)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SUMIFS(RAB!$F$14:$F$122,RAB!$C$14:$C$122,C789)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SUMIFS(RAB!$F$14:$F$122,RAB!$C$14:$C$122,C790)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SUMIFS(RAB!$F$14:$F$122,RAB!$C$14:$C$122,C791)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SUMIFS(RAB!$F$14:$F$122,RAB!$C$14:$C$122,C792)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SUMIFS(RAB!$F$14:$F$122,RAB!$C$14:$C$122,C793)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SUMIFS(RAB!$F$14:$F$122,RAB!$C$14:$C$122,C794)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SUMIFS(RAB!$F$14:$F$122,RAB!$C$14:$C$122,C795)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SUMIFS(RAB!$F$14:$F$122,RAB!$C$14:$C$122,C796)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SUMIFS(RAB!$F$14:$F$122,RAB!$C$14:$C$122,C797)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SUMIFS(RAB!$F$14:$F$122,RAB!$C$14:$C$122,C798)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SUMIFS(RAB!$F$14:$F$122,RAB!$C$14:$C$122,C799)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SUMIFS(RAB!$F$14:$F$122,RAB!$C$14:$C$122,C800)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SUMIFS(RAB!$F$14:$F$122,RAB!$C$14:$C$122,C801)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SUMIFS(RAB!$F$14:$F$122,RAB!$C$14:$C$122,C802)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SUMIFS(RAB!$F$14:$F$122,RAB!$C$14:$C$122,C803)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SUMIFS(RAB!$F$14:$F$122,RAB!$C$14:$C$122,C804)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SUMIFS(RAB!$F$14:$F$122,RAB!$C$14:$C$122,C805)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SUMIFS(RAB!$F$14:$F$122,RAB!$C$14:$C$122,C806)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SUMIFS(RAB!$F$14:$F$122,RAB!$C$14:$C$122,C807)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SUMIFS(RAB!$F$14:$F$122,RAB!$C$14:$C$122,C808)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SUMIFS(RAB!$F$14:$F$122,RAB!$C$14:$C$122,C809)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SUMIFS(RAB!$F$14:$F$122,RAB!$C$14:$C$122,C810)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SUMIFS(RAB!$F$14:$F$122,RAB!$C$14:$C$122,C811)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SUMIFS(RAB!$F$14:$F$122,RAB!$C$14:$C$122,C812)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SUMIFS(RAB!$F$14:$F$122,RAB!$C$14:$C$122,C813)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SUMIFS(RAB!$F$14:$F$122,RAB!$C$14:$C$122,C814)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SUMIFS(RAB!$F$14:$F$122,RAB!$C$14:$C$122,C815)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SUMIFS(RAB!$F$14:$F$122,RAB!$C$14:$C$122,C816)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SUMIFS(RAB!$F$14:$F$122,RAB!$C$14:$C$122,C817)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SUMIFS(RAB!$F$14:$F$122,RAB!$C$14:$C$122,C818)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SUMIFS(RAB!$F$14:$F$122,RAB!$C$14:$C$122,C819)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SUMIFS(RAB!$F$14:$F$122,RAB!$C$14:$C$122,C820)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SUMIFS(RAB!$F$14:$F$122,RAB!$C$14:$C$122,C821)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SUMIFS(RAB!$F$14:$F$122,RAB!$C$14:$C$122,C822)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SUMIFS(RAB!$F$14:$F$122,RAB!$C$14:$C$122,C823)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SUMIFS(RAB!$F$14:$F$122,RAB!$C$14:$C$122,C824)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SUMIFS(RAB!$F$14:$F$122,RAB!$C$14:$C$122,C825)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SUMIFS(RAB!$F$14:$F$122,RAB!$C$14:$C$122,C826)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SUMIFS(RAB!$F$14:$F$122,RAB!$C$14:$C$122,C827)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SUMIFS(RAB!$F$14:$F$122,RAB!$C$14:$C$122,C828)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SUMIFS(RAB!$F$14:$F$122,RAB!$C$14:$C$122,C829)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SUMIFS(RAB!$F$14:$F$122,RAB!$C$14:$C$122,C830)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SUMIFS(RAB!$F$14:$F$122,RAB!$C$14:$C$122,C831)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SUMIFS(RAB!$F$14:$F$122,RAB!$C$14:$C$122,C832)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SUMIFS(RAB!$F$14:$F$122,RAB!$C$14:$C$122,C833)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SUMIFS(RAB!$F$14:$F$122,RAB!$C$14:$C$122,C834)</f>
        <v>160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SUMIFS(RAB!$F$14:$F$122,RAB!$C$14:$C$122,C835)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SUMIFS(RAB!$F$14:$F$122,RAB!$C$14:$C$122,C836)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SUMIFS(RAB!$F$14:$F$122,RAB!$C$14:$C$122,C837)</f>
        <v>20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SUMIFS(RAB!$F$14:$F$122,RAB!$C$14:$C$122,C838)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SUMIFS(RAB!$F$14:$F$122,RAB!$C$14:$C$122,C839)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SUMIFS(RAB!$F$14:$F$122,RAB!$C$14:$C$122,C840)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SUMIFS(RAB!$F$14:$F$122,RAB!$C$14:$C$122,C841)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SUMIFS(RAB!$F$14:$F$122,RAB!$C$14:$C$122,C842)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SUMIFS(RAB!$F$14:$F$122,RAB!$C$14:$C$122,C843)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SUMIFS(RAB!$F$14:$F$122,RAB!$C$14:$C$122,C844)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SUMIFS(RAB!$F$14:$F$122,RAB!$C$14:$C$122,C845)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SUMIFS(RAB!$F$14:$F$122,RAB!$C$14:$C$122,C846)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SUMIFS(RAB!$F$14:$F$122,RAB!$C$14:$C$122,C847)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SUMIFS(RAB!$F$14:$F$122,RAB!$C$14:$C$122,C848)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SUMIFS(RAB!$F$14:$F$122,RAB!$C$14:$C$122,C849)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SUMIFS(RAB!$F$14:$F$122,RAB!$C$14:$C$122,C850)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SUMIFS(RAB!$F$14:$F$122,RAB!$C$14:$C$122,C851)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SUMIFS(RAB!$F$14:$F$122,RAB!$C$14:$C$122,C852)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SUMIFS(RAB!$F$14:$F$122,RAB!$C$14:$C$122,C853)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SUMIFS(RAB!$F$14:$F$122,RAB!$C$14:$C$122,C854)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SUMIFS(RAB!$F$14:$F$122,RAB!$C$14:$C$122,C855)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SUMIFS(RAB!$F$14:$F$122,RAB!$C$14:$C$122,C856)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SUMIFS(RAB!$F$14:$F$122,RAB!$C$14:$C$122,C857)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SUMIFS(RAB!$F$14:$F$122,RAB!$C$14:$C$122,C858)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SUMIFS(RAB!$F$14:$F$122,RAB!$C$14:$C$122,C859)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SUMIFS(RAB!$F$14:$F$122,RAB!$C$14:$C$122,C860)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SUMIFS(RAB!$F$14:$F$122,RAB!$C$14:$C$122,C861)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SUMIFS(RAB!$F$14:$F$122,RAB!$C$14:$C$122,C862)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SUMIFS(RAB!$F$14:$F$122,RAB!$C$14:$C$122,C863)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SUMIFS(RAB!$F$14:$F$122,RAB!$C$14:$C$122,C864)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SUMIFS(RAB!$F$14:$F$122,RAB!$C$14:$C$122,C865)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SUMIFS(RAB!$F$14:$F$122,RAB!$C$14:$C$122,C866)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SUMIFS(RAB!$F$14:$F$122,RAB!$C$14:$C$122,C867)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SUMIFS(RAB!$F$14:$F$122,RAB!$C$14:$C$122,C868)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SUMIFS(RAB!$F$14:$F$122,RAB!$C$14:$C$122,C869)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SUMIFS(RAB!$F$14:$F$122,RAB!$C$14:$C$122,C870)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SUMIFS(RAB!$F$14:$F$122,RAB!$C$14:$C$122,C871)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SUMIFS(RAB!$F$14:$F$122,RAB!$C$14:$C$122,C872)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SUMIFS(RAB!$F$14:$F$122,RAB!$C$14:$C$122,C873)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SUMIFS(RAB!$F$14:$F$122,RAB!$C$14:$C$122,C874)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SUMIFS(RAB!$F$14:$F$122,RAB!$C$14:$C$122,C875)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SUMIFS(RAB!$F$14:$F$122,RAB!$C$14:$C$122,C876)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SUMIFS(RAB!$F$14:$F$122,RAB!$C$14:$C$122,C877)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SUMIFS(RAB!$F$14:$F$122,RAB!$C$14:$C$122,C878)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SUMIFS(RAB!$F$14:$F$122,RAB!$C$14:$C$122,C879)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SUMIFS(RAB!$F$14:$F$122,RAB!$C$14:$C$122,C880)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SUMIFS(RAB!$F$14:$F$122,RAB!$C$14:$C$122,C881)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SUMIFS(RAB!$F$14:$F$122,RAB!$C$14:$C$122,C882)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SUMIFS(RAB!$F$14:$F$122,RAB!$C$14:$C$122,C883)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SUMIFS(RAB!$F$14:$F$122,RAB!$C$14:$C$122,C884)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SUMIFS(RAB!$F$14:$F$122,RAB!$C$14:$C$122,C885)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SUMIFS(RAB!$F$14:$F$122,RAB!$C$14:$C$122,C886)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SUMIFS(RAB!$F$14:$F$122,RAB!$C$14:$C$122,C887)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SUMIFS(RAB!$F$14:$F$122,RAB!$C$14:$C$122,C888)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SUMIFS(RAB!$F$14:$F$122,RAB!$C$14:$C$122,C889)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SUMIFS(RAB!$F$14:$F$122,RAB!$C$14:$C$122,C890)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SUMIFS(RAB!$F$14:$F$122,RAB!$C$14:$C$122,C891)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SUMIFS(RAB!$F$14:$F$122,RAB!$C$14:$C$122,C892)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SUMIFS(RAB!$F$14:$F$122,RAB!$C$14:$C$122,C893)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SUMIFS(RAB!$F$14:$F$122,RAB!$C$14:$C$122,C894)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SUMIFS(RAB!$F$14:$F$122,RAB!$C$14:$C$122,C895)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SUMIFS(RAB!$F$14:$F$122,RAB!$C$14:$C$122,C896)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SUMIFS(RAB!$F$14:$F$122,RAB!$C$14:$C$122,C897)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SUMIFS(RAB!$F$14:$F$122,RAB!$C$14:$C$122,C898)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SUMIFS(RAB!$F$14:$F$122,RAB!$C$14:$C$122,C899)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SUMIFS(RAB!$F$14:$F$122,RAB!$C$14:$C$122,C900)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SUMIFS(RAB!$F$14:$F$122,RAB!$C$14:$C$122,C901)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SUMIFS(RAB!$F$14:$F$122,RAB!$C$14:$C$122,C902)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SUMIFS(RAB!$F$14:$F$122,RAB!$C$14:$C$122,C903)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SUMIFS(RAB!$F$14:$F$122,RAB!$C$14:$C$122,C904)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SUMIFS(RAB!$F$14:$F$122,RAB!$C$14:$C$122,C905)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SUMIFS(RAB!$F$14:$F$122,RAB!$C$14:$C$122,C906)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SUMIFS(RAB!$F$14:$F$122,RAB!$C$14:$C$122,C907)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SUMIFS(RAB!$F$14:$F$122,RAB!$C$14:$C$122,C908)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SUMIFS(RAB!$F$14:$F$122,RAB!$C$14:$C$122,C909)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SUMIFS(RAB!$F$14:$F$122,RAB!$C$14:$C$122,C910)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SUMIFS(RAB!$F$14:$F$122,RAB!$C$14:$C$122,C911)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SUMIFS(RAB!$F$14:$F$122,RAB!$C$14:$C$122,C912)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SUMIFS(RAB!$F$14:$F$122,RAB!$C$14:$C$122,C913)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SUMIFS(RAB!$F$14:$F$122,RAB!$C$14:$C$122,C914)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SUMIFS(RAB!$F$14:$F$122,RAB!$C$14:$C$122,C915)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SUMIFS(RAB!$F$14:$F$122,RAB!$C$14:$C$122,C916)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SUMIFS(RAB!$F$14:$F$122,RAB!$C$14:$C$122,C917)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SUMIFS(RAB!$F$14:$F$122,RAB!$C$14:$C$122,C918)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SUMIFS(RAB!$F$14:$F$122,RAB!$C$14:$C$122,C919)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SUMIFS(RAB!$F$14:$F$122,RAB!$C$14:$C$122,C920)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SUMIFS(RAB!$F$14:$F$122,RAB!$C$14:$C$122,C921)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SUMIFS(RAB!$F$14:$F$122,RAB!$C$14:$C$122,C922)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SUMIFS(RAB!$F$14:$F$122,RAB!$C$14:$C$122,C923)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SUMIFS(RAB!$F$14:$F$122,RAB!$C$14:$C$122,C924)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SUMIFS(RAB!$F$14:$F$122,RAB!$C$14:$C$122,C925)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SUMIFS(RAB!$F$14:$F$122,RAB!$C$14:$C$122,C926)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SUMIFS(RAB!$F$14:$F$122,RAB!$C$14:$C$122,C927)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SUMIFS(RAB!$F$14:$F$122,RAB!$C$14:$C$122,C928)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SUMIFS(RAB!$F$14:$F$122,RAB!$C$14:$C$122,C929)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SUMIFS(RAB!$F$14:$F$122,RAB!$C$14:$C$122,C930)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SUMIFS(RAB!$F$14:$F$122,RAB!$C$14:$C$122,C931)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SUMIFS(RAB!$F$14:$F$122,RAB!$C$14:$C$122,C932)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SUMIFS(RAB!$F$14:$F$122,RAB!$C$14:$C$122,C933)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SUMIFS(RAB!$F$14:$F$122,RAB!$C$14:$C$122,C934)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SUMIFS(RAB!$F$14:$F$122,RAB!$C$14:$C$122,C935)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SUMIFS(RAB!$F$14:$F$122,RAB!$C$14:$C$122,C936)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SUMIFS(RAB!$F$14:$F$122,RAB!$C$14:$C$122,C937)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SUMIFS(RAB!$F$14:$F$122,RAB!$C$14:$C$122,C938)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SUMIFS(RAB!$F$14:$F$122,RAB!$C$14:$C$122,C939)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SUMIFS(RAB!$F$14:$F$122,RAB!$C$14:$C$122,C940)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SUMIFS(RAB!$F$14:$F$122,RAB!$C$14:$C$122,C941)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SUMIFS(RAB!$F$14:$F$122,RAB!$C$14:$C$122,C942)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SUMIFS(RAB!$F$14:$F$122,RAB!$C$14:$C$122,C943)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SUMIFS(RAB!$F$14:$F$122,RAB!$C$14:$C$122,C944)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SUMIFS(RAB!$F$14:$F$122,RAB!$C$14:$C$122,C945)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SUMIFS(RAB!$F$14:$F$122,RAB!$C$14:$C$122,C946)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SUMIFS(RAB!$F$14:$F$122,RAB!$C$14:$C$122,C947)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SUMIFS(RAB!$F$14:$F$122,RAB!$C$14:$C$122,C948)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SUMIFS(RAB!$F$14:$F$122,RAB!$C$14:$C$122,C949)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SUMIFS(RAB!$F$14:$F$122,RAB!$C$14:$C$122,C950)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SUMIFS(RAB!$F$14:$F$122,RAB!$C$14:$C$122,C951)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SUMIFS(RAB!$F$14:$F$122,RAB!$C$14:$C$122,C952)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SUMIFS(RAB!$F$14:$F$122,RAB!$C$14:$C$122,C953)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SUMIFS(RAB!$F$14:$F$122,RAB!$C$14:$C$122,C954)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SUMIFS(RAB!$F$14:$F$122,RAB!$C$14:$C$122,C955)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SUMIFS(RAB!$F$14:$F$122,RAB!$C$14:$C$122,C956)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SUMIFS(RAB!$F$14:$F$122,RAB!$C$14:$C$122,C957)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SUMIFS(RAB!$F$14:$F$122,RAB!$C$14:$C$122,C958)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SUMIFS(RAB!$F$14:$F$122,RAB!$C$14:$C$122,C959)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SUMIFS(RAB!$F$14:$F$122,RAB!$C$14:$C$122,C960)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SUMIFS(RAB!$F$14:$F$122,RAB!$C$14:$C$122,C961)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SUMIFS(RAB!$F$14:$F$122,RAB!$C$14:$C$122,C962)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SUMIFS(RAB!$F$14:$F$122,RAB!$C$14:$C$122,C963)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SUMIFS(RAB!$F$14:$F$122,RAB!$C$14:$C$122,C964)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SUMIFS(RAB!$F$14:$F$122,RAB!$C$14:$C$122,C965)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SUMIFS(RAB!$F$14:$F$122,RAB!$C$14:$C$122,C966)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SUMIFS(RAB!$F$14:$F$122,RAB!$C$14:$C$122,C967)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SUMIFS(RAB!$F$14:$F$122,RAB!$C$14:$C$122,C968)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SUMIFS(RAB!$F$14:$F$122,RAB!$C$14:$C$122,C969)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SUMIFS(RAB!$F$14:$F$122,RAB!$C$14:$C$122,C970)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SUMIFS(RAB!$F$14:$F$122,RAB!$C$14:$C$122,C971)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SUMIFS(RAB!$F$14:$F$122,RAB!$C$14:$C$122,C972)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SUMIFS(RAB!$F$14:$F$122,RAB!$C$14:$C$122,C973)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SUMIFS(RAB!$F$14:$F$122,RAB!$C$14:$C$122,C974)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SUMIFS(RAB!$F$14:$F$122,RAB!$C$14:$C$122,C975)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SUMIFS(RAB!$F$14:$F$122,RAB!$C$14:$C$122,C976)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SUMIFS(RAB!$F$14:$F$122,RAB!$C$14:$C$122,C977)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SUMIFS(RAB!$F$14:$F$122,RAB!$C$14:$C$122,C978)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SUMIFS(RAB!$F$14:$F$122,RAB!$C$14:$C$122,C979)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SUMIFS(RAB!$F$14:$F$122,RAB!$C$14:$C$122,C980)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SUMIFS(RAB!$F$14:$F$122,RAB!$C$14:$C$122,C981)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SUMIFS(RAB!$F$14:$F$122,RAB!$C$14:$C$122,C982)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SUMIFS(RAB!$F$14:$F$122,RAB!$C$14:$C$122,C983)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SUMIFS(RAB!$F$14:$F$122,RAB!$C$14:$C$122,C984)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SUMIFS(RAB!$F$14:$F$122,RAB!$C$14:$C$122,C985)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SUMIFS(RAB!$F$14:$F$122,RAB!$C$14:$C$122,C986)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SUMIFS(RAB!$F$14:$F$122,RAB!$C$14:$C$122,C987)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SUMIFS(RAB!$F$14:$F$122,RAB!$C$14:$C$122,C988)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SUMIFS(RAB!$F$14:$F$122,RAB!$C$14:$C$122,C989)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SUMIFS(RAB!$F$14:$F$122,RAB!$C$14:$C$122,C990)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SUMIFS(RAB!$F$14:$F$122,RAB!$C$14:$C$122,C991)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SUMIFS(RAB!$F$14:$F$122,RAB!$C$14:$C$122,C992)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SUMIFS(RAB!$F$14:$F$122,RAB!$C$14:$C$122,C993)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SUMIFS(RAB!$F$14:$F$122,RAB!$C$14:$C$122,C994)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SUMIFS(RAB!$F$14:$F$122,RAB!$C$14:$C$122,C995)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SUMIFS(RAB!$F$14:$F$122,RAB!$C$14:$C$122,C996)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SUMIFS(RAB!$F$14:$F$122,RAB!$C$14:$C$122,C997)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SUMIFS(RAB!$F$14:$F$122,RAB!$C$14:$C$122,C998)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SUMIFS(RAB!$F$14:$F$122,RAB!$C$14:$C$122,C999)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SUMIFS(RAB!$F$14:$F$122,RAB!$C$14:$C$122,C1000)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SUMIFS(RAB!$F$14:$F$122,RAB!$C$14:$C$122,C1001)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SUMIFS(RAB!$F$14:$F$122,RAB!$C$14:$C$122,C1002)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SUMIFS(RAB!$F$14:$F$122,RAB!$C$14:$C$122,C1003)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SUMIFS(RAB!$F$14:$F$122,RAB!$C$14:$C$122,C1004)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SUMIFS(RAB!$F$14:$F$122,RAB!$C$14:$C$122,C1005)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SUMIFS(RAB!$F$14:$F$122,RAB!$C$14:$C$122,C1006)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SUMIFS(RAB!$F$14:$F$122,RAB!$C$14:$C$122,C1007)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SUMIFS(RAB!$F$14:$F$122,RAB!$C$14:$C$122,C1008)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SUMIFS(RAB!$F$14:$F$122,RAB!$C$14:$C$122,C1009)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SUMIFS(RAB!$F$14:$F$122,RAB!$C$14:$C$122,C1010)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SUMIFS(RAB!$F$14:$F$122,RAB!$C$14:$C$122,C1011)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SUMIFS(RAB!$F$14:$F$122,RAB!$C$14:$C$122,C1012)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SUMIFS(RAB!$F$14:$F$122,RAB!$C$14:$C$122,C1013)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SUMIFS(RAB!$F$14:$F$122,RAB!$C$14:$C$122,C1014)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SUMIFS(RAB!$F$14:$F$122,RAB!$C$14:$C$122,C1015)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SUMIFS(RAB!$F$14:$F$122,RAB!$C$14:$C$122,C1016)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SUMIFS(RAB!$F$14:$F$122,RAB!$C$14:$C$122,C1017)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SUMIFS(RAB!$F$14:$F$122,RAB!$C$14:$C$122,C1018)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SUMIFS(RAB!$F$14:$F$122,RAB!$C$14:$C$122,C1019)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SUMIFS(RAB!$F$14:$F$122,RAB!$C$14:$C$122,C1020)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SUMIFS(RAB!$F$14:$F$122,RAB!$C$14:$C$122,C1021)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SUMIFS(RAB!$F$14:$F$122,RAB!$C$14:$C$122,C1022)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SUMIFS(RAB!$F$14:$F$122,RAB!$C$14:$C$122,C1023)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SUMIFS(RAB!$F$14:$F$122,RAB!$C$14:$C$122,C1024)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SUMIFS(RAB!$F$14:$F$122,RAB!$C$14:$C$122,C1025)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SUMIFS(RAB!$F$14:$F$122,RAB!$C$14:$C$122,C1026)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SUMIFS(RAB!$F$14:$F$122,RAB!$C$14:$C$122,C1027)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SUMIFS(RAB!$F$14:$F$122,RAB!$C$14:$C$122,C1028)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SUMIFS(RAB!$F$14:$F$122,RAB!$C$14:$C$122,C1029)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SUMIFS(RAB!$F$14:$F$122,RAB!$C$14:$C$122,C1030)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SUMIFS(RAB!$F$14:$F$122,RAB!$C$14:$C$122,C1031)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SUMIFS(RAB!$F$14:$F$122,RAB!$C$14:$C$122,C1032)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SUMIFS(RAB!$F$14:$F$122,RAB!$C$14:$C$122,C1033)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SUMIFS(RAB!$F$14:$F$122,RAB!$C$14:$C$122,C1034)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SUMIFS(RAB!$F$14:$F$122,RAB!$C$14:$C$122,C1035)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SUMIFS(RAB!$F$14:$F$122,RAB!$C$14:$C$122,C1036)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SUMIFS(RAB!$F$14:$F$122,RAB!$C$14:$C$122,C1037)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SUMIFS(RAB!$F$14:$F$122,RAB!$C$14:$C$122,C1038)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SUMIFS(RAB!$F$14:$F$122,RAB!$C$14:$C$122,C1039)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SUMIFS(RAB!$F$14:$F$122,RAB!$C$14:$C$122,C1040)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SUMIFS(RAB!$F$14:$F$122,RAB!$C$14:$C$122,C1041)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SUMIFS(RAB!$F$14:$F$122,RAB!$C$14:$C$122,C1042)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SUMIFS(RAB!$F$14:$F$122,RAB!$C$14:$C$122,C1043)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SUMIFS(RAB!$F$14:$F$122,RAB!$C$14:$C$122,C1044)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SUMIFS(RAB!$F$14:$F$122,RAB!$C$14:$C$122,C1045)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SUMIFS(RAB!$F$14:$F$122,RAB!$C$14:$C$122,C1046)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SUMIFS(RAB!$F$14:$F$122,RAB!$C$14:$C$122,C1047)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SUMIFS(RAB!$F$14:$F$122,RAB!$C$14:$C$122,C1048)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SUMIFS(RAB!$F$14:$F$122,RAB!$C$14:$C$122,C1049)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SUMIFS(RAB!$F$14:$F$122,RAB!$C$14:$C$122,C1050)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SUMIFS(RAB!$F$14:$F$122,RAB!$C$14:$C$122,C1051)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SUMIFS(RAB!$F$14:$F$122,RAB!$C$14:$C$122,C1052)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SUMIFS(RAB!$F$14:$F$122,RAB!$C$14:$C$122,C1053)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SUMIFS(RAB!$F$14:$F$122,RAB!$C$14:$C$122,C1054)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SUMIFS(RAB!$F$14:$F$122,RAB!$C$14:$C$122,C1055)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SUMIFS(RAB!$F$14:$F$122,RAB!$C$14:$C$122,C1056)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SUMIFS(RAB!$F$14:$F$122,RAB!$C$14:$C$122,C1057)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SUMIFS(RAB!$F$14:$F$122,RAB!$C$14:$C$122,C1058)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SUMIFS(RAB!$F$14:$F$122,RAB!$C$14:$C$122,C1059)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SUMIFS(RAB!$F$14:$F$122,RAB!$C$14:$C$122,C1060)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SUMIFS(RAB!$F$14:$F$122,RAB!$C$14:$C$122,C1061)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SUMIFS(RAB!$F$14:$F$122,RAB!$C$14:$C$122,C1062)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SUMIFS(RAB!$F$14:$F$122,RAB!$C$14:$C$122,C1063)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SUMIFS(RAB!$F$14:$F$122,RAB!$C$14:$C$122,C1064)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SUMIFS(RAB!$F$14:$F$122,RAB!$C$14:$C$122,C1065)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SUMIFS(RAB!$F$14:$F$122,RAB!$C$14:$C$122,C1066)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SUMIFS(RAB!$F$14:$F$122,RAB!$C$14:$C$122,C1067)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SUMIFS(RAB!$F$14:$F$122,RAB!$C$14:$C$122,C1068)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SUMIFS(RAB!$F$14:$F$122,RAB!$C$14:$C$122,C1069)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SUMIFS(RAB!$F$14:$F$122,RAB!$C$14:$C$122,C1070)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SUMIFS(RAB!$F$14:$F$122,RAB!$C$14:$C$122,C1071)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SUMIFS(RAB!$F$14:$F$122,RAB!$C$14:$C$122,C1072)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SUMIFS(RAB!$F$14:$F$122,RAB!$C$14:$C$122,C1073)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SUMIFS(RAB!$F$14:$F$122,RAB!$C$14:$C$122,C1074)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SUMIFS(RAB!$F$14:$F$122,RAB!$C$14:$C$122,C1075)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SUMIFS(RAB!$F$14:$F$122,RAB!$C$14:$C$122,C1076)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SUMIFS(RAB!$F$14:$F$122,RAB!$C$14:$C$122,C1077)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SUMIFS(RAB!$F$14:$F$122,RAB!$C$14:$C$122,C1078)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SUMIFS(RAB!$F$14:$F$122,RAB!$C$14:$C$122,C1079)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SUMIFS(RAB!$F$14:$F$122,RAB!$C$14:$C$122,C1080)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SUMIFS(RAB!$F$14:$F$122,RAB!$C$14:$C$122,C1081)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SUMIFS(RAB!$F$14:$F$122,RAB!$C$14:$C$122,C1082)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SUMIFS(RAB!$F$14:$F$122,RAB!$C$14:$C$122,C1083)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SUMIFS(RAB!$F$14:$F$122,RAB!$C$14:$C$122,C1084)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SUMIFS(RAB!$F$14:$F$122,RAB!$C$14:$C$122,C1085)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SUMIFS(RAB!$F$14:$F$122,RAB!$C$14:$C$122,C1086)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SUMIFS(RAB!$F$14:$F$122,RAB!$C$14:$C$122,C1087)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SUMIFS(RAB!$F$14:$F$122,RAB!$C$14:$C$122,C1088)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SUMIFS(RAB!$F$14:$F$122,RAB!$C$14:$C$122,C1089)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SUMIFS(RAB!$F$14:$F$122,RAB!$C$14:$C$122,C1090)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SUMIFS(RAB!$F$14:$F$122,RAB!$C$14:$C$122,C1091)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SUMIFS(RAB!$F$14:$F$122,RAB!$C$14:$C$122,C1092)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SUMIFS(RAB!$F$14:$F$122,RAB!$C$14:$C$122,C1093)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SUMIFS(RAB!$F$14:$F$122,RAB!$C$14:$C$122,C1094)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SUMIFS(RAB!$F$14:$F$122,RAB!$C$14:$C$122,C1095)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SUMIFS(RAB!$F$14:$F$122,RAB!$C$14:$C$122,C1096)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SUMIFS(RAB!$F$14:$F$122,RAB!$C$14:$C$122,C1097)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SUMIFS(RAB!$F$14:$F$122,RAB!$C$14:$C$122,C1098)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SUMIFS(RAB!$F$14:$F$122,RAB!$C$14:$C$122,C1099)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SUMIFS(RAB!$F$14:$F$122,RAB!$C$14:$C$122,C1100)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SUMIFS(RAB!$F$14:$F$122,RAB!$C$14:$C$122,C1101)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SUMIFS(RAB!$F$14:$F$122,RAB!$C$14:$C$122,C1102)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SUMIFS(RAB!$F$14:$F$122,RAB!$C$14:$C$122,C1103)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SUMIFS(RAB!$F$14:$F$122,RAB!$C$14:$C$122,C1104)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SUMIFS(RAB!$F$14:$F$122,RAB!$C$14:$C$122,C1105)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SUMIFS(RAB!$F$14:$F$122,RAB!$C$14:$C$122,C1106)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SUMIFS(RAB!$F$14:$F$122,RAB!$C$14:$C$122,C1107)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SUMIFS(RAB!$F$14:$F$122,RAB!$C$14:$C$122,C1108)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SUMIFS(RAB!$F$14:$F$122,RAB!$C$14:$C$122,C1109)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SUMIFS(RAB!$F$14:$F$122,RAB!$C$14:$C$122,C1110)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SUMIFS(RAB!$F$14:$F$122,RAB!$C$14:$C$122,C1111)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SUMIFS(RAB!$F$14:$F$122,RAB!$C$14:$C$122,C1112)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SUMIFS(RAB!$F$14:$F$122,RAB!$C$14:$C$122,C1113)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SUMIFS(RAB!$F$14:$F$122,RAB!$C$14:$C$122,C1114)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SUMIFS(RAB!$F$14:$F$122,RAB!$C$14:$C$122,C1115)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SUMIFS(RAB!$F$14:$F$122,RAB!$C$14:$C$122,C1116)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SUMIFS(RAB!$F$14:$F$122,RAB!$C$14:$C$122,C1117)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SUMIFS(RAB!$F$14:$F$122,RAB!$C$14:$C$122,C1118)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SUMIFS(RAB!$F$14:$F$122,RAB!$C$14:$C$122,C1119)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SUMIFS(RAB!$F$14:$F$122,RAB!$C$14:$C$122,C1120)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SUMIFS(RAB!$F$14:$F$122,RAB!$C$14:$C$122,C1121)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SUMIFS(RAB!$F$14:$F$122,RAB!$C$14:$C$122,C1122)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SUMIFS(RAB!$F$14:$F$122,RAB!$C$14:$C$122,C1123)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SUMIFS(RAB!$F$14:$F$122,RAB!$C$14:$C$122,C1124)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SUMIFS(RAB!$F$14:$F$122,RAB!$C$14:$C$122,C1125)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SUMIFS(RAB!$F$14:$F$122,RAB!$C$14:$C$122,C1126)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SUMIFS(RAB!$F$14:$F$122,RAB!$C$14:$C$122,C1127)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SUMIFS(RAB!$F$14:$F$122,RAB!$C$14:$C$122,C1128)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SUMIFS(RAB!$F$14:$F$122,RAB!$C$14:$C$122,C1129)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SUMIFS(RAB!$F$14:$F$122,RAB!$C$14:$C$122,C1130)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SUMIFS(RAB!$F$14:$F$122,RAB!$C$14:$C$122,C1131)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SUMIFS(RAB!$F$14:$F$122,RAB!$C$14:$C$122,C1132)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SUMIFS(RAB!$F$14:$F$122,RAB!$C$14:$C$122,C1133)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SUMIFS(RAB!$F$14:$F$122,RAB!$C$14:$C$122,C1134)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SUMIFS(RAB!$F$14:$F$122,RAB!$C$14:$C$122,C1135)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SUMIFS(RAB!$F$14:$F$122,RAB!$C$14:$C$122,C1136)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SUMIFS(RAB!$F$14:$F$122,RAB!$C$14:$C$122,C1137)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SUMIFS(RAB!$F$14:$F$122,RAB!$C$14:$C$122,C1138)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SUMIFS(RAB!$F$14:$F$122,RAB!$C$14:$C$122,C1139)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SUMIFS(RAB!$F$14:$F$122,RAB!$C$14:$C$122,C1140)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SUMIFS(RAB!$F$14:$F$122,RAB!$C$14:$C$122,C1141)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SUMIFS(RAB!$F$14:$F$122,RAB!$C$14:$C$122,C1142)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SUMIFS(RAB!$F$14:$F$122,RAB!$C$14:$C$122,C1143)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SUMIFS(RAB!$F$14:$F$122,RAB!$C$14:$C$122,C1144)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SUMIFS(RAB!$F$14:$F$122,RAB!$C$14:$C$122,C1145)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SUMIFS(RAB!$F$14:$F$122,RAB!$C$14:$C$122,C1146)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SUMIFS(RAB!$F$14:$F$122,RAB!$C$14:$C$122,C1147)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SUMIFS(RAB!$F$14:$F$122,RAB!$C$14:$C$122,C1148)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SUMIFS(RAB!$F$14:$F$122,RAB!$C$14:$C$122,C1149)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SUMIFS(RAB!$F$14:$F$122,RAB!$C$14:$C$122,C1150)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SUMIFS(RAB!$F$14:$F$122,RAB!$C$14:$C$122,C1151)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SUMIFS(RAB!$F$14:$F$122,RAB!$C$14:$C$122,C1152)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SUMIFS(RAB!$F$14:$F$122,RAB!$C$14:$C$122,C1153)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SUMIFS(RAB!$F$14:$F$122,RAB!$C$14:$C$122,C1154)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SUMIFS(RAB!$F$14:$F$122,RAB!$C$14:$C$122,C1155)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SUMIFS(RAB!$F$14:$F$122,RAB!$C$14:$C$122,C1156)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SUMIFS(RAB!$F$14:$F$122,RAB!$C$14:$C$122,C1157)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SUMIFS(RAB!$F$14:$F$122,RAB!$C$14:$C$122,C1158)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SUMIFS(RAB!$F$14:$F$122,RAB!$C$14:$C$122,C1159)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SUMIFS(RAB!$F$14:$F$122,RAB!$C$14:$C$122,C1160)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SUMIFS(RAB!$F$14:$F$122,RAB!$C$14:$C$122,C1161)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SUMIFS(RAB!$F$14:$F$122,RAB!$C$14:$C$122,C1162)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SUMIFS(RAB!$F$14:$F$122,RAB!$C$14:$C$122,C1163)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SUMIFS(RAB!$F$14:$F$122,RAB!$C$14:$C$122,C1164)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SUMIFS(RAB!$F$14:$F$122,RAB!$C$14:$C$122,C1165)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SUMIFS(RAB!$F$14:$F$122,RAB!$C$14:$C$122,C1166)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SUMIFS(RAB!$F$14:$F$122,RAB!$C$14:$C$122,C1167)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SUMIFS(RAB!$F$14:$F$122,RAB!$C$14:$C$122,C1168)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SUMIFS(RAB!$F$14:$F$122,RAB!$C$14:$C$122,C1169)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SUMIFS(RAB!$F$14:$F$122,RAB!$C$14:$C$122,C1170)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SUMIFS(RAB!$F$14:$F$122,RAB!$C$14:$C$122,C1171)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SUMIFS(RAB!$F$14:$F$122,RAB!$C$14:$C$122,C1172)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SUMIFS(RAB!$F$14:$F$122,RAB!$C$14:$C$122,C1173)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SUMIFS(RAB!$F$14:$F$122,RAB!$C$14:$C$122,C1174)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SUMIFS(RAB!$F$14:$F$122,RAB!$C$14:$C$122,C1175)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SUMIFS(RAB!$F$14:$F$122,RAB!$C$14:$C$122,C1176)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SUMIFS(RAB!$F$14:$F$122,RAB!$C$14:$C$122,C1177)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SUMIFS(RAB!$F$14:$F$122,RAB!$C$14:$C$122,C1178)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SUMIFS(RAB!$F$14:$F$122,RAB!$C$14:$C$122,C1179)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SUMIFS(RAB!$F$14:$F$122,RAB!$C$14:$C$122,C1180)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SUMIFS(RAB!$F$14:$F$122,RAB!$C$14:$C$122,C1181)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SUMIFS(RAB!$F$14:$F$122,RAB!$C$14:$C$122,C1182)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SUMIFS(RAB!$F$14:$F$122,RAB!$C$14:$C$122,C1183)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SUMIFS(RAB!$F$14:$F$122,RAB!$C$14:$C$122,C1184)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SUMIFS(RAB!$F$14:$F$122,RAB!$C$14:$C$122,C1185)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SUMIFS(RAB!$F$14:$F$122,RAB!$C$14:$C$122,C1186)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SUMIFS(RAB!$F$14:$F$122,RAB!$C$14:$C$122,C1187)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SUMIFS(RAB!$F$14:$F$122,RAB!$C$14:$C$122,C1188)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SUMIFS(RAB!$F$14:$F$122,RAB!$C$14:$C$122,C1189)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SUMIFS(RAB!$F$14:$F$122,RAB!$C$14:$C$122,C1190)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SUMIFS(RAB!$F$14:$F$122,RAB!$C$14:$C$122,C1191)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SUMIFS(RAB!$F$14:$F$122,RAB!$C$14:$C$122,C1192)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SUMIFS(RAB!$F$14:$F$122,RAB!$C$14:$C$122,C1193)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SUMIFS(RAB!$F$14:$F$122,RAB!$C$14:$C$122,C1194)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SUMIFS(RAB!$F$14:$F$122,RAB!$C$14:$C$122,C1195)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SUMIFS(RAB!$F$14:$F$122,RAB!$C$14:$C$122,C1196)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SUMIFS(RAB!$F$14:$F$122,RAB!$C$14:$C$122,C1197)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SUMIFS(RAB!$F$14:$F$122,RAB!$C$14:$C$122,C1198)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SUMIFS(RAB!$F$14:$F$122,RAB!$C$14:$C$122,C1199)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SUMIFS(RAB!$F$14:$F$122,RAB!$C$14:$C$122,C1200)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SUMIFS(RAB!$F$14:$F$122,RAB!$C$14:$C$122,C1201)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SUMIFS(RAB!$F$14:$F$122,RAB!$C$14:$C$122,C1202)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SUMIFS(RAB!$F$14:$F$122,RAB!$C$14:$C$122,C1203)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SUMIFS(RAB!$F$14:$F$122,RAB!$C$14:$C$122,C1204)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SUMIFS(RAB!$F$14:$F$122,RAB!$C$14:$C$122,C1205)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SUMIFS(RAB!$F$14:$F$122,RAB!$C$14:$C$122,C1206)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SUMIFS(RAB!$F$14:$F$122,RAB!$C$14:$C$122,C1207)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SUMIFS(RAB!$F$14:$F$122,RAB!$C$14:$C$122,C1208)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SUMIFS(RAB!$F$14:$F$122,RAB!$C$14:$C$122,C1209)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SUMIFS(RAB!$F$14:$F$122,RAB!$C$14:$C$122,C1210)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SUMIFS(RAB!$F$14:$F$122,RAB!$C$14:$C$122,C1211)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SUMIFS(RAB!$F$14:$F$122,RAB!$C$14:$C$122,C1212)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SUMIFS(RAB!$F$14:$F$122,RAB!$C$14:$C$122,C1213)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SUMIFS(RAB!$F$14:$F$122,RAB!$C$14:$C$122,C1214)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SUMIFS(RAB!$F$14:$F$122,RAB!$C$14:$C$122,C1215)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SUMIFS(RAB!$F$14:$F$122,RAB!$C$14:$C$122,C1216)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SUMIFS(RAB!$F$14:$F$122,RAB!$C$14:$C$122,C1217)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SUMIFS(RAB!$F$14:$F$122,RAB!$C$14:$C$122,C1218)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SUMIFS(RAB!$F$14:$F$122,RAB!$C$14:$C$122,C1219)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SUMIFS(RAB!$F$14:$F$122,RAB!$C$14:$C$122,C1220)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SUMIFS(RAB!$F$14:$F$122,RAB!$C$14:$C$122,C1221)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SUMIFS(RAB!$F$14:$F$122,RAB!$C$14:$C$122,C1222)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SUMIFS(RAB!$F$14:$F$122,RAB!$C$14:$C$122,C1223)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SUMIFS(RAB!$F$14:$F$122,RAB!$C$14:$C$122,C1224)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SUMIFS(RAB!$F$14:$F$122,RAB!$C$14:$C$122,C1225)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SUMIFS(RAB!$F$14:$F$122,RAB!$C$14:$C$122,C1226)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SUMIFS(RAB!$F$14:$F$122,RAB!$C$14:$C$122,C1227)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SUMIFS(RAB!$F$14:$F$122,RAB!$C$14:$C$122,C1228)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SUMIFS(RAB!$F$14:$F$122,RAB!$C$14:$C$122,C1229)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SUMIFS(RAB!$F$14:$F$122,RAB!$C$14:$C$122,C1230)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SUMIFS(RAB!$F$14:$F$122,RAB!$C$14:$C$122,C1231)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SUMIFS(RAB!$F$14:$F$122,RAB!$C$14:$C$122,C1232)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SUMIFS(RAB!$F$14:$F$122,RAB!$C$14:$C$122,C1233)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SUMIFS(RAB!$F$14:$F$122,RAB!$C$14:$C$122,C1234)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SUMIFS(RAB!$F$14:$F$122,RAB!$C$14:$C$122,C1235)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SUMIFS(RAB!$F$14:$F$122,RAB!$C$14:$C$122,C1236)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SUMIFS(RAB!$F$14:$F$122,RAB!$C$14:$C$122,C1237)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SUMIFS(RAB!$F$14:$F$122,RAB!$C$14:$C$122,C1238)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SUMIFS(RAB!$F$14:$F$122,RAB!$C$14:$C$122,C1239)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SUMIFS(RAB!$F$14:$F$122,RAB!$C$14:$C$122,C1240)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SUMIFS(RAB!$F$14:$F$122,RAB!$C$14:$C$122,C1241)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SUMIFS(RAB!$F$14:$F$122,RAB!$C$14:$C$122,C1242)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SUMIFS(RAB!$F$14:$F$122,RAB!$C$14:$C$122,C1243)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SUMIFS(RAB!$F$14:$F$122,RAB!$C$14:$C$122,C1244)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SUMIFS(RAB!$F$14:$F$122,RAB!$C$14:$C$122,C1245)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SUMIFS(RAB!$F$14:$F$122,RAB!$C$14:$C$122,C1246)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SUMIFS(RAB!$F$14:$F$122,RAB!$C$14:$C$122,C1247)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SUMIFS(RAB!$F$14:$F$122,RAB!$C$14:$C$122,C1248)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SUMIFS(RAB!$F$14:$F$122,RAB!$C$14:$C$122,C1249)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SUMIFS(RAB!$F$14:$F$122,RAB!$C$14:$C$122,C1250)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SUMIFS(RAB!$F$14:$F$122,RAB!$C$14:$C$122,C1251)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SUMIFS(RAB!$F$14:$F$122,RAB!$C$14:$C$122,C1252)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SUMIFS(RAB!$F$14:$F$122,RAB!$C$14:$C$122,C1253)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SUMIFS(RAB!$F$14:$F$122,RAB!$C$14:$C$122,C1254)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SUMIFS(RAB!$F$14:$F$122,RAB!$C$14:$C$122,C1255)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SUMIFS(RAB!$F$14:$F$122,RAB!$C$14:$C$122,C1256)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SUMIFS(RAB!$F$14:$F$122,RAB!$C$14:$C$122,C1257)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SUMIFS(RAB!$F$14:$F$122,RAB!$C$14:$C$122,C1258)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SUMIFS(RAB!$F$14:$F$122,RAB!$C$14:$C$122,C1259)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SUMIFS(RAB!$F$14:$F$122,RAB!$C$14:$C$122,C1260)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SUMIFS(RAB!$F$14:$F$122,RAB!$C$14:$C$122,C1261)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SUMIFS(RAB!$F$14:$F$122,RAB!$C$14:$C$122,C1262)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SUMIFS(RAB!$F$14:$F$122,RAB!$C$14:$C$122,C1263)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SUMIFS(RAB!$F$14:$F$122,RAB!$C$14:$C$122,C1264)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SUMIFS(RAB!$F$14:$F$122,RAB!$C$14:$C$122,C1265)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SUMIFS(RAB!$F$14:$F$122,RAB!$C$14:$C$122,C1266)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SUMIFS(RAB!$F$14:$F$122,RAB!$C$14:$C$122,C1267)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SUMIFS(RAB!$F$14:$F$122,RAB!$C$14:$C$122,C1268)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SUMIFS(RAB!$F$14:$F$122,RAB!$C$14:$C$122,C1269)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SUMIFS(RAB!$F$14:$F$122,RAB!$C$14:$C$122,C1270)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SUMIFS(RAB!$F$14:$F$122,RAB!$C$14:$C$122,C1271)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SUMIFS(RAB!$F$14:$F$122,RAB!$C$14:$C$122,C1272)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SUMIFS(RAB!$F$14:$F$122,RAB!$C$14:$C$122,C1273)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SUMIFS(RAB!$F$14:$F$122,RAB!$C$14:$C$122,C1274)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SUMIFS(RAB!$F$14:$F$122,RAB!$C$14:$C$122,C1275)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SUMIFS(RAB!$F$14:$F$122,RAB!$C$14:$C$122,C1276)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SUMIFS(RAB!$F$14:$F$122,RAB!$C$14:$C$122,C1277)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SUMIFS(RAB!$F$14:$F$122,RAB!$C$14:$C$122,C1278)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SUMIFS(RAB!$F$14:$F$122,RAB!$C$14:$C$122,C1279)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SUMIFS(RAB!$F$14:$F$122,RAB!$C$14:$C$122,C1280)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SUMIFS(RAB!$F$14:$F$122,RAB!$C$14:$C$122,C1281)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SUMIFS(RAB!$F$14:$F$122,RAB!$C$14:$C$122,C1282)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SUMIFS(RAB!$F$14:$F$122,RAB!$C$14:$C$122,C1283)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SUMIFS(RAB!$F$14:$F$122,RAB!$C$14:$C$122,C1284)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SUMIFS(RAB!$F$14:$F$122,RAB!$C$14:$C$122,C1285)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SUMIFS(RAB!$F$14:$F$122,RAB!$C$14:$C$122,C1286)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SUMIFS(RAB!$F$14:$F$122,RAB!$C$14:$C$122,C1287)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SUMIFS(RAB!$F$14:$F$122,RAB!$C$14:$C$122,C1288)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SUMIFS(RAB!$F$14:$F$122,RAB!$C$14:$C$122,C1289)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SUMIFS(RAB!$F$14:$F$122,RAB!$C$14:$C$122,C1290)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SUMIFS(RAB!$F$14:$F$122,RAB!$C$14:$C$122,C1291)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SUMIFS(RAB!$F$14:$F$122,RAB!$C$14:$C$122,C1292)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SUMIFS(RAB!$F$14:$F$122,RAB!$C$14:$C$122,C1293)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SUMIFS(RAB!$F$14:$F$122,RAB!$C$14:$C$122,C1294)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SUMIFS(RAB!$F$14:$F$122,RAB!$C$14:$C$122,C1295)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SUMIFS(RAB!$F$14:$F$122,RAB!$C$14:$C$122,C1296)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SUMIFS(RAB!$F$14:$F$122,RAB!$C$14:$C$122,C1297)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SUMIFS(RAB!$F$14:$F$122,RAB!$C$14:$C$122,C1298)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SUMIFS(RAB!$F$14:$F$122,RAB!$C$14:$C$122,C1299)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SUMIFS(RAB!$F$14:$F$122,RAB!$C$14:$C$122,C1300)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SUMIFS(RAB!$F$14:$F$122,RAB!$C$14:$C$122,C1301)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SUMIFS(RAB!$F$14:$F$122,RAB!$C$14:$C$122,C1302)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SUMIFS(RAB!$F$14:$F$122,RAB!$C$14:$C$122,C1303)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SUMIFS(RAB!$F$14:$F$122,RAB!$C$14:$C$122,C1304)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SUMIFS(RAB!$F$14:$F$122,RAB!$C$14:$C$122,C1305)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SUMIFS(RAB!$F$14:$F$122,RAB!$C$14:$C$122,C1306)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SUMIFS(RAB!$F$14:$F$122,RAB!$C$14:$C$122,C1307)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SUMIFS(RAB!$F$14:$F$122,RAB!$C$14:$C$122,C1308)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SUMIFS(RAB!$F$14:$F$122,RAB!$C$14:$C$122,C1309)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SUMIFS(RAB!$F$14:$F$122,RAB!$C$14:$C$122,C1310)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SUMIFS(RAB!$F$14:$F$122,RAB!$C$14:$C$122,C1311)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SUMIFS(RAB!$F$14:$F$122,RAB!$C$14:$C$122,C1312)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SUMIFS(RAB!$F$14:$F$122,RAB!$C$14:$C$122,C1313)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SUMIFS(RAB!$F$14:$F$122,RAB!$C$14:$C$122,C1314)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SUMIFS(RAB!$F$14:$F$122,RAB!$C$14:$C$122,C1315)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SUMIFS(RAB!$F$14:$F$122,RAB!$C$14:$C$122,C1316)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SUMIFS(RAB!$F$14:$F$122,RAB!$C$14:$C$122,C1317)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SUMIFS(RAB!$F$14:$F$122,RAB!$C$14:$C$122,C1318)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SUMIFS(RAB!$F$14:$F$122,RAB!$C$14:$C$122,C1319)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SUMIFS(RAB!$F$14:$F$122,RAB!$C$14:$C$122,C1320)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1127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 xml:space="preserve">MASY. DESA BALEROMO 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BALEROMO,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17400000</v>
      </c>
      <c r="J38" s="55">
        <f ca="1">SUM(J14:J37)</f>
        <v>0</v>
      </c>
      <c r="K38" s="55">
        <f ca="1">SUM(K14:K37)</f>
        <v>17400000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1740000</v>
      </c>
      <c r="J39" s="60">
        <f ca="1">J38*0.1</f>
        <v>0</v>
      </c>
      <c r="K39" s="60">
        <f ca="1">K38*0.1</f>
        <v>1740000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19140000</v>
      </c>
      <c r="J40" s="61">
        <f ca="1">SUM(J38:J39)</f>
        <v>0</v>
      </c>
      <c r="K40" s="61">
        <f ca="1">SUM(K38:K39)</f>
        <v>19140000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SUMIFS(RAB!$F$14:$F$122,RAB!$C$14:$C$122,'REKAP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SUMIFS(RAB!$F$14:$F$122,RAB!$C$14:$C$122,'REKAP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SUMIFS(RAB!$F$14:$F$122,RAB!$C$14:$C$122,'REKAP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SUMIFS(RAB!$F$14:$F$122,RAB!$C$14:$C$122,'REKAP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SUMIFS(RAB!$F$14:$F$122,RAB!$C$14:$C$122,'REKAP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SUMIFS(RAB!$F$14:$F$122,RAB!$C$14:$C$122,'REKAP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SUMIFS(RAB!$F$14:$F$122,RAB!$C$14:$C$122,'REKAP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SUMIFS(RAB!$F$14:$F$122,RAB!$C$14:$C$122,'REKAP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SUMIFS(RAB!$F$14:$F$122,RAB!$C$14:$C$122,'REKAP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SUMIFS(RAB!$F$14:$F$122,RAB!$C$14:$C$122,'REKAP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SUMIFS(RAB!$F$14:$F$122,RAB!$C$14:$C$122,'REKAP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SUMIFS(RAB!$F$14:$F$122,RAB!$C$14:$C$122,'REKAP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SUMIFS(RAB!$F$14:$F$122,RAB!$C$14:$C$122,'REKAP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SUMIFS(RAB!$F$14:$F$122,RAB!$C$14:$C$122,'REKAP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SUMIFS(RAB!$F$14:$F$122,RAB!$C$14:$C$122,'REKAP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SUMIFS(RAB!$F$14:$F$122,RAB!$C$14:$C$122,'REKAP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SUMIFS(RAB!$F$14:$F$122,RAB!$C$14:$C$122,'REKAP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SUMIFS(RAB!$F$14:$F$122,RAB!$C$14:$C$122,'REKAP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SUMIFS(RAB!$F$14:$F$122,RAB!$C$14:$C$122,'REKAP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SUMIFS(RAB!$F$14:$F$122,RAB!$C$14:$C$122,'REKAP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T16" sqref="T16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1034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 xml:space="preserve">MASY. DESA BALEROMO 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BALEROMO,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4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160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8528000</v>
      </c>
      <c r="I21" s="42">
        <f t="shared" ca="1" si="2"/>
        <v>0</v>
      </c>
      <c r="J21" s="42">
        <f t="shared" ca="1" si="3"/>
        <v>0</v>
      </c>
      <c r="K21" s="43">
        <f t="shared" ca="1" si="0"/>
        <v>8528000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20</v>
      </c>
      <c r="G22" s="41">
        <f ca="1">IF(ISERROR(OFFSET('HARGA SATUAN'!$I$6,MATCH(C22,'HARGA SATUAN'!$C$7:$C$1492,0),0)),"",OFFSET('HARGA SATUAN'!$I$6,MATCH(C22,'HARGA SATUAN'!$C$7:$C$1492,0),0))</f>
        <v>4300</v>
      </c>
      <c r="H22" s="42">
        <f t="shared" ca="1" si="1"/>
        <v>86000</v>
      </c>
      <c r="I22" s="42">
        <f t="shared" ca="1" si="2"/>
        <v>0</v>
      </c>
      <c r="J22" s="42">
        <f t="shared" ca="1" si="3"/>
        <v>0</v>
      </c>
      <c r="K22" s="43">
        <f t="shared" ca="1" si="0"/>
        <v>86000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37702650</v>
      </c>
      <c r="I168" s="55">
        <f ca="1">SUM(I14:I167)</f>
        <v>0</v>
      </c>
      <c r="J168" s="55">
        <f ca="1">SUM(J14:J167)</f>
        <v>0</v>
      </c>
      <c r="K168" s="55">
        <f ca="1">SUM(K14:K167)</f>
        <v>37702650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3770265</v>
      </c>
      <c r="I169" s="60">
        <f ca="1">I168*0.1</f>
        <v>0</v>
      </c>
      <c r="J169" s="60">
        <f ca="1">J168*0.1</f>
        <v>0</v>
      </c>
      <c r="K169" s="60">
        <f ca="1">K168*0.1</f>
        <v>3770265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41472915</v>
      </c>
      <c r="I170" s="78">
        <f ca="1">SUM(I168:I169)</f>
        <v>0</v>
      </c>
      <c r="J170" s="61">
        <f ca="1">SUM(J168:J169)</f>
        <v>0</v>
      </c>
      <c r="K170" s="61">
        <f ca="1">SUM(K168:K169)</f>
        <v>41472915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SUMIFS(RAB!$F$14:$F$122,RAB!$C$14:$C$122,C224)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SUMIFS(RAB!$F$14:$F$122,RAB!$C$14:$C$122,C225)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SUMIFS(RAB!$F$14:$F$122,RAB!$C$14:$C$122,C226)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SUMIFS(RAB!$F$14:$F$122,RAB!$C$14:$C$122,C227)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SUMIFS(RAB!$F$14:$F$122,RAB!$C$14:$C$122,C228)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SUMIFS(RAB!$F$14:$F$122,RAB!$C$14:$C$122,C229)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SUMIFS(RAB!$F$14:$F$122,RAB!$C$14:$C$122,C230)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SUMIFS(RAB!$F$14:$F$122,RAB!$C$14:$C$122,C231)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SUMIFS(RAB!$F$14:$F$122,RAB!$C$14:$C$122,C232)</f>
        <v>1</v>
      </c>
      <c r="E232" s="24">
        <f t="shared" ca="1" si="21"/>
        <v>1</v>
      </c>
      <c r="F232" s="24">
        <f ca="1">IF(D232=0,0,SUM($E$223:E232))</f>
        <v>2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SUMIFS(RAB!$F$14:$F$122,RAB!$C$14:$C$122,C233)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SUMIFS(RAB!$F$14:$F$122,RAB!$C$14:$C$122,C234)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SUMIFS(RAB!$F$14:$F$122,RAB!$C$14:$C$122,C235)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SUMIFS(RAB!$F$14:$F$122,RAB!$C$14:$C$122,C236)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SUMIFS(RAB!$F$14:$F$122,RAB!$C$14:$C$122,C237)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SUMIFS(RAB!$F$14:$F$122,RAB!$C$14:$C$122,C238)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SUMIFS(RAB!$F$14:$F$122,RAB!$C$14:$C$122,C239)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SUMIFS(RAB!$F$14:$F$122,RAB!$C$14:$C$122,C240)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SUMIFS(RAB!$F$14:$F$122,RAB!$C$14:$C$122,C241)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SUMIFS(RAB!$F$14:$F$122,RAB!$C$14:$C$122,C242)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SUMIFS(RAB!$F$14:$F$122,RAB!$C$14:$C$122,C243)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SUMIFS(RAB!$F$14:$F$122,RAB!$C$14:$C$122,C244)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SUMIFS(RAB!$F$14:$F$122,RAB!$C$14:$C$122,C245)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SUMIFS(RAB!$F$14:$F$122,RAB!$C$14:$C$122,C246)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SUMIFS(RAB!$F$14:$F$122,RAB!$C$14:$C$122,C247)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SUMIFS(RAB!$F$14:$F$122,RAB!$C$14:$C$122,C248)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SUMIFS(RAB!$F$14:$F$122,RAB!$C$14:$C$122,C249)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SUMIFS(RAB!$F$14:$F$122,RAB!$C$14:$C$122,C250)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SUMIFS(RAB!$F$14:$F$122,RAB!$C$14:$C$122,C251)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SUMIFS(RAB!$F$14:$F$122,RAB!$C$14:$C$122,C252)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SUMIFS(RAB!$F$14:$F$122,RAB!$C$14:$C$122,C253)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SUMIFS(RAB!$F$14:$F$122,RAB!$C$14:$C$122,C254)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SUMIFS(RAB!$F$14:$F$122,RAB!$C$14:$C$122,C255)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SUMIFS(RAB!$F$14:$F$122,RAB!$C$14:$C$122,C256)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SUMIFS(RAB!$F$14:$F$122,RAB!$C$14:$C$122,C257)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SUMIFS(RAB!$F$14:$F$122,RAB!$C$14:$C$122,C258)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SUMIFS(RAB!$F$14:$F$122,RAB!$C$14:$C$122,C259)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SUMIFS(RAB!$F$14:$F$122,RAB!$C$14:$C$122,C260)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SUMIFS(RAB!$F$14:$F$122,RAB!$C$14:$C$122,C261)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SUMIFS(RAB!$F$14:$F$122,RAB!$C$14:$C$122,C262)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SUMIFS(RAB!$F$14:$F$122,RAB!$C$14:$C$122,C263)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SUMIFS(RAB!$F$14:$F$122,RAB!$C$14:$C$122,C264)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SUMIFS(RAB!$F$14:$F$122,RAB!$C$14:$C$122,C265)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SUMIFS(RAB!$F$14:$F$122,RAB!$C$14:$C$122,C266)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SUMIFS(RAB!$F$14:$F$122,RAB!$C$14:$C$122,C267)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SUMIFS(RAB!$F$14:$F$122,RAB!$C$14:$C$122,C268)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SUMIFS(RAB!$F$14:$F$122,RAB!$C$14:$C$122,C269)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SUMIFS(RAB!$F$14:$F$122,RAB!$C$14:$C$122,C270)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SUMIFS(RAB!$F$14:$F$122,RAB!$C$14:$C$122,C271)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SUMIFS(RAB!$F$14:$F$122,RAB!$C$14:$C$122,C272)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SUMIFS(RAB!$F$14:$F$122,RAB!$C$14:$C$122,C273)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SUMIFS(RAB!$F$14:$F$122,RAB!$C$14:$C$122,C274)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SUMIFS(RAB!$F$14:$F$122,RAB!$C$14:$C$122,C275)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SUMIFS(RAB!$F$14:$F$122,RAB!$C$14:$C$122,C276)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SUMIFS(RAB!$F$14:$F$122,RAB!$C$14:$C$122,C277)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SUMIFS(RAB!$F$14:$F$122,RAB!$C$14:$C$122,C278)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SUMIFS(RAB!$F$14:$F$122,RAB!$C$14:$C$122,C279)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SUMIFS(RAB!$F$14:$F$122,RAB!$C$14:$C$122,C280)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SUMIFS(RAB!$F$14:$F$122,RAB!$C$14:$C$122,C281)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SUMIFS(RAB!$F$14:$F$122,RAB!$C$14:$C$122,C282)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SUMIFS(RAB!$F$14:$F$122,RAB!$C$14:$C$122,C283)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SUMIFS(RAB!$F$14:$F$122,RAB!$C$14:$C$122,C284)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SUMIFS(RAB!$F$14:$F$122,RAB!$C$14:$C$122,C285)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SUMIFS(RAB!$F$14:$F$122,RAB!$C$14:$C$122,C286)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SUMIFS(RAB!$F$14:$F$122,RAB!$C$14:$C$122,C287)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SUMIFS(RAB!$F$14:$F$122,RAB!$C$14:$C$122,C288)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SUMIFS(RAB!$F$14:$F$122,RAB!$C$14:$C$122,C289)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SUMIFS(RAB!$F$14:$F$122,RAB!$C$14:$C$122,C290)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SUMIFS(RAB!$F$14:$F$122,RAB!$C$14:$C$122,C291)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SUMIFS(RAB!$F$14:$F$122,RAB!$C$14:$C$122,C292)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SUMIFS(RAB!$F$14:$F$122,RAB!$C$14:$C$122,C293)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SUMIFS(RAB!$F$14:$F$122,RAB!$C$14:$C$122,C294)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SUMIFS(RAB!$F$14:$F$122,RAB!$C$14:$C$122,C295)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SUMIFS(RAB!$F$14:$F$122,RAB!$C$14:$C$122,C296)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SUMIFS(RAB!$F$14:$F$122,RAB!$C$14:$C$122,C297)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SUMIFS(RAB!$F$14:$F$122,RAB!$C$14:$C$122,C298)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SUMIFS(RAB!$F$14:$F$122,RAB!$C$14:$C$122,C299)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SUMIFS(RAB!$F$14:$F$122,RAB!$C$14:$C$122,C300)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SUMIFS(RAB!$F$14:$F$122,RAB!$C$14:$C$122,C301)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SUMIFS(RAB!$F$14:$F$122,RAB!$C$14:$C$122,C302)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SUMIFS(RAB!$F$14:$F$122,RAB!$C$14:$C$122,C303)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SUMIFS(RAB!$F$14:$F$122,RAB!$C$14:$C$122,C304)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SUMIFS(RAB!$F$14:$F$122,RAB!$C$14:$C$122,C305)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SUMIFS(RAB!$F$14:$F$122,RAB!$C$14:$C$122,C306)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SUMIFS(RAB!$F$14:$F$122,RAB!$C$14:$C$122,C307)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SUMIFS(RAB!$F$14:$F$122,RAB!$C$14:$C$122,C308)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SUMIFS(RAB!$F$14:$F$122,RAB!$C$14:$C$122,C309)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SUMIFS(RAB!$F$14:$F$122,RAB!$C$14:$C$122,C310)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SUMIFS(RAB!$F$14:$F$122,RAB!$C$14:$C$122,C311)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SUMIFS(RAB!$F$14:$F$122,RAB!$C$14:$C$122,C312)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SUMIFS(RAB!$F$14:$F$122,RAB!$C$14:$C$122,C313)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SUMIFS(RAB!$F$14:$F$122,RAB!$C$14:$C$122,C314)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SUMIFS(RAB!$F$14:$F$122,RAB!$C$14:$C$122,C315)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SUMIFS(RAB!$F$14:$F$122,RAB!$C$14:$C$122,C316)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SUMIFS(RAB!$F$14:$F$122,RAB!$C$14:$C$122,C317)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SUMIFS(RAB!$F$14:$F$122,RAB!$C$14:$C$122,C318)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SUMIFS(RAB!$F$14:$F$122,RAB!$C$14:$C$122,C319)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SUMIFS(RAB!$F$14:$F$122,RAB!$C$14:$C$122,C320)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SUMIFS(RAB!$F$14:$F$122,RAB!$C$14:$C$122,C321)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SUMIFS(RAB!$F$14:$F$122,RAB!$C$14:$C$122,C322)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SUMIFS(RAB!$F$14:$F$122,RAB!$C$14:$C$122,C323)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SUMIFS(RAB!$F$14:$F$122,RAB!$C$14:$C$122,C324)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SUMIFS(RAB!$F$14:$F$122,RAB!$C$14:$C$122,C325)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SUMIFS(RAB!$F$14:$F$122,RAB!$C$14:$C$122,C326)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SUMIFS(RAB!$F$14:$F$122,RAB!$C$14:$C$122,C327)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SUMIFS(RAB!$F$14:$F$122,RAB!$C$14:$C$122,C328)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SUMIFS(RAB!$F$14:$F$122,RAB!$C$14:$C$122,C329)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SUMIFS(RAB!$F$14:$F$122,RAB!$C$14:$C$122,C330)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SUMIFS(RAB!$F$14:$F$122,RAB!$C$14:$C$122,C331)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SUMIFS(RAB!$F$14:$F$122,RAB!$C$14:$C$122,C332)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SUMIFS(RAB!$F$14:$F$122,RAB!$C$14:$C$122,C333)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SUMIFS(RAB!$F$14:$F$122,RAB!$C$14:$C$122,C334)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SUMIFS(RAB!$F$14:$F$122,RAB!$C$14:$C$122,C335)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SUMIFS(RAB!$F$14:$F$122,RAB!$C$14:$C$122,C336)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SUMIFS(RAB!$F$14:$F$122,RAB!$C$14:$C$122,C337)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SUMIFS(RAB!$F$14:$F$122,RAB!$C$14:$C$122,C338)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SUMIFS(RAB!$F$14:$F$122,RAB!$C$14:$C$122,C339)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SUMIFS(RAB!$F$14:$F$122,RAB!$C$14:$C$122,C340)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SUMIFS(RAB!$F$14:$F$122,RAB!$C$14:$C$122,C341)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SUMIFS(RAB!$F$14:$F$122,RAB!$C$14:$C$122,C342)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SUMIFS(RAB!$F$14:$F$122,RAB!$C$14:$C$122,C343)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SUMIFS(RAB!$F$14:$F$122,RAB!$C$14:$C$122,C344)</f>
        <v>160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SUMIFS(RAB!$F$14:$F$122,RAB!$C$14:$C$122,C345)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SUMIFS(RAB!$F$14:$F$122,RAB!$C$14:$C$122,C346)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SUMIFS(RAB!$F$14:$F$122,RAB!$C$14:$C$122,C347)</f>
        <v>20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SUMIFS(RAB!$F$14:$F$122,RAB!$C$14:$C$122,C348)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SUMIFS(RAB!$F$14:$F$122,RAB!$C$14:$C$122,C349)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SUMIFS(RAB!$F$14:$F$122,RAB!$C$14:$C$122,C350)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SUMIFS(RAB!$F$14:$F$122,RAB!$C$14:$C$122,C351)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SUMIFS(RAB!$F$14:$F$122,RAB!$C$14:$C$122,C352)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SUMIFS(RAB!$F$14:$F$122,RAB!$C$14:$C$122,C353)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SUMIFS(RAB!$F$14:$F$122,RAB!$C$14:$C$122,C354)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SUMIFS(RAB!$F$14:$F$122,RAB!$C$14:$C$122,C355)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SUMIFS(RAB!$F$14:$F$122,RAB!$C$14:$C$122,C356)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SUMIFS(RAB!$F$14:$F$122,RAB!$C$14:$C$122,C357)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SUMIFS(RAB!$F$14:$F$122,RAB!$C$14:$C$122,C358)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SUMIFS(RAB!$F$14:$F$122,RAB!$C$14:$C$122,C359)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SUMIFS(RAB!$F$14:$F$122,RAB!$C$14:$C$122,C360)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SUMIFS(RAB!$F$14:$F$122,RAB!$C$14:$C$122,C361)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SUMIFS(RAB!$F$14:$F$122,RAB!$C$14:$C$122,C362)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SUMIFS(RAB!$F$14:$F$122,RAB!$C$14:$C$122,C363)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SUMIFS(RAB!$F$14:$F$122,RAB!$C$14:$C$122,C364)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SUMIFS(RAB!$F$14:$F$122,RAB!$C$14:$C$122,C365)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SUMIFS(RAB!$F$14:$F$122,RAB!$C$14:$C$122,C366)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SUMIFS(RAB!$F$14:$F$122,RAB!$C$14:$C$122,C367)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SUMIFS(RAB!$F$14:$F$122,RAB!$C$14:$C$122,C368)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SUMIFS(RAB!$F$14:$F$122,RAB!$C$14:$C$122,C369)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SUMIFS(RAB!$F$14:$F$122,RAB!$C$14:$C$122,C370)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SUMIFS(RAB!$F$14:$F$122,RAB!$C$14:$C$122,C371)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SUMIFS(RAB!$F$14:$F$122,RAB!$C$14:$C$122,C372)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SUMIFS(RAB!$F$14:$F$122,RAB!$C$14:$C$122,C373)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8" t="s">
        <v>41</v>
      </c>
      <c r="C2" s="56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9" t="s">
        <v>23</v>
      </c>
      <c r="C4" s="570" t="s">
        <v>1012</v>
      </c>
      <c r="D4" s="570" t="s">
        <v>42</v>
      </c>
      <c r="E4" s="569" t="s">
        <v>43</v>
      </c>
      <c r="F4" s="108" t="s">
        <v>1604</v>
      </c>
      <c r="G4" s="108" t="s">
        <v>1603</v>
      </c>
      <c r="H4" s="56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9"/>
      <c r="C5" s="570"/>
      <c r="D5" s="570"/>
      <c r="E5" s="569"/>
      <c r="F5" s="93"/>
      <c r="G5" s="93"/>
      <c r="H5" s="567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5" t="s">
        <v>1454</v>
      </c>
      <c r="C2" s="575"/>
      <c r="D2" s="575"/>
      <c r="E2" s="57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0" t="s">
        <v>1532</v>
      </c>
      <c r="C4" s="581"/>
      <c r="D4" s="581"/>
      <c r="E4" s="582"/>
      <c r="F4" s="442"/>
      <c r="G4" s="442"/>
      <c r="H4" s="443"/>
      <c r="I4" s="607" t="s">
        <v>1533</v>
      </c>
      <c r="J4" s="608"/>
      <c r="K4" s="608"/>
      <c r="L4" s="609"/>
    </row>
    <row r="5" spans="1:12" ht="34.5" customHeight="1">
      <c r="A5" s="204"/>
      <c r="B5" s="445" t="s">
        <v>1379</v>
      </c>
      <c r="C5" s="277" t="s">
        <v>9</v>
      </c>
      <c r="D5" s="576" t="str">
        <f>DATA!D14</f>
        <v xml:space="preserve">MASY. DESA BALEROMO </v>
      </c>
      <c r="E5" s="577"/>
      <c r="F5" s="208"/>
      <c r="G5" s="208"/>
      <c r="I5" s="446" t="s">
        <v>1379</v>
      </c>
      <c r="J5" s="277" t="s">
        <v>9</v>
      </c>
      <c r="K5" s="610" t="str">
        <f>D5</f>
        <v xml:space="preserve">MASY. DESA BALEROMO </v>
      </c>
      <c r="L5" s="611"/>
    </row>
    <row r="6" spans="1:12" ht="31.5" customHeight="1">
      <c r="A6" s="204"/>
      <c r="B6" s="445" t="s">
        <v>1529</v>
      </c>
      <c r="C6" s="277" t="s">
        <v>9</v>
      </c>
      <c r="D6" s="585">
        <f>DATA!D17*1000</f>
        <v>0</v>
      </c>
      <c r="E6" s="586"/>
      <c r="F6" s="208"/>
      <c r="G6" s="208"/>
      <c r="I6" s="446" t="s">
        <v>1530</v>
      </c>
      <c r="J6" s="277" t="s">
        <v>9</v>
      </c>
      <c r="K6" s="612">
        <f>DATA!D20*1000</f>
        <v>5400</v>
      </c>
      <c r="L6" s="613"/>
    </row>
    <row r="7" spans="1:12" ht="30.75" customHeight="1">
      <c r="A7" s="204"/>
      <c r="B7" s="445" t="s">
        <v>1441</v>
      </c>
      <c r="C7" s="277" t="s">
        <v>9</v>
      </c>
      <c r="D7" s="583">
        <f>DATA!D18</f>
        <v>1</v>
      </c>
      <c r="E7" s="584"/>
      <c r="F7" s="444" t="s">
        <v>1453</v>
      </c>
      <c r="I7" s="446" t="s">
        <v>1441</v>
      </c>
      <c r="J7" s="277" t="s">
        <v>9</v>
      </c>
      <c r="K7" s="614">
        <f>DATA!D21</f>
        <v>1</v>
      </c>
      <c r="L7" s="615"/>
    </row>
    <row r="8" spans="1:12" ht="51" customHeight="1">
      <c r="A8" s="204"/>
      <c r="B8" s="445" t="s">
        <v>1442</v>
      </c>
      <c r="C8" s="277" t="s">
        <v>9</v>
      </c>
      <c r="D8" s="583">
        <f>DATA!D19</f>
        <v>220</v>
      </c>
      <c r="E8" s="584"/>
      <c r="F8" s="444" t="s">
        <v>1453</v>
      </c>
      <c r="G8" s="439">
        <v>220</v>
      </c>
      <c r="I8" s="446" t="s">
        <v>1442</v>
      </c>
      <c r="J8" s="277" t="s">
        <v>9</v>
      </c>
      <c r="K8" s="614">
        <f>DATA!D22</f>
        <v>220</v>
      </c>
      <c r="L8" s="615"/>
    </row>
    <row r="9" spans="1:12" ht="30" customHeight="1" thickBot="1">
      <c r="A9" s="204"/>
      <c r="B9" s="451" t="s">
        <v>1541</v>
      </c>
      <c r="C9" s="441" t="s">
        <v>9</v>
      </c>
      <c r="D9" s="578">
        <f>IF(D7=1,D6/(380/3^0.5),(D6/(380*3^0.5)))</f>
        <v>0</v>
      </c>
      <c r="E9" s="579"/>
      <c r="F9" s="207"/>
      <c r="G9" s="440">
        <v>380</v>
      </c>
      <c r="I9" s="452" t="s">
        <v>1541</v>
      </c>
      <c r="J9" s="441" t="s">
        <v>9</v>
      </c>
      <c r="K9" s="616">
        <f>IF(K7=1,K6/(380/3^0.5),(K6/(380*3^0.5)))</f>
        <v>24.613353581241942</v>
      </c>
      <c r="L9" s="617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7"/>
      <c r="E12" s="588"/>
      <c r="F12" s="208"/>
      <c r="G12" s="208"/>
      <c r="I12" s="468" t="s">
        <v>1534</v>
      </c>
      <c r="J12" s="469" t="s">
        <v>9</v>
      </c>
      <c r="K12" s="587"/>
      <c r="L12" s="588"/>
    </row>
    <row r="13" spans="1:12" ht="31.5" customHeight="1">
      <c r="A13" s="204"/>
      <c r="B13" s="476" t="s">
        <v>1380</v>
      </c>
      <c r="C13" s="456" t="s">
        <v>9</v>
      </c>
      <c r="D13" s="591"/>
      <c r="E13" s="592"/>
      <c r="F13" s="208"/>
      <c r="G13" s="208"/>
      <c r="I13" s="470" t="s">
        <v>1380</v>
      </c>
      <c r="J13" s="456" t="s">
        <v>9</v>
      </c>
      <c r="K13" s="591"/>
      <c r="L13" s="592"/>
    </row>
    <row r="14" spans="1:12" ht="30.75" customHeight="1">
      <c r="A14" s="204"/>
      <c r="B14" s="476" t="s">
        <v>1535</v>
      </c>
      <c r="C14" s="456" t="s">
        <v>9</v>
      </c>
      <c r="D14" s="599"/>
      <c r="E14" s="600"/>
      <c r="F14" s="444" t="s">
        <v>1453</v>
      </c>
      <c r="G14" s="448">
        <v>50</v>
      </c>
      <c r="I14" s="470" t="s">
        <v>1535</v>
      </c>
      <c r="J14" s="456" t="s">
        <v>9</v>
      </c>
      <c r="K14" s="601"/>
      <c r="L14" s="602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603">
        <v>0</v>
      </c>
      <c r="E16" s="604"/>
      <c r="F16" s="444"/>
      <c r="G16" s="448">
        <v>160</v>
      </c>
      <c r="I16" s="470" t="s">
        <v>1537</v>
      </c>
      <c r="J16" s="456" t="s">
        <v>9</v>
      </c>
      <c r="K16" s="605">
        <f>K9</f>
        <v>24.613353581241942</v>
      </c>
      <c r="L16" s="606"/>
    </row>
    <row r="17" spans="1:12" ht="34.5" customHeight="1">
      <c r="A17" s="204"/>
      <c r="B17" s="476" t="s">
        <v>1538</v>
      </c>
      <c r="C17" s="456" t="s">
        <v>9</v>
      </c>
      <c r="D17" s="593">
        <f>IF(D15=1,D14/(20/3^0.5),(D14/(20*3^0.5)))</f>
        <v>0</v>
      </c>
      <c r="E17" s="594"/>
      <c r="F17" s="444" t="s">
        <v>1453</v>
      </c>
      <c r="G17" s="449">
        <v>200</v>
      </c>
      <c r="I17" s="470" t="s">
        <v>1538</v>
      </c>
      <c r="J17" s="456" t="s">
        <v>9</v>
      </c>
      <c r="K17" s="597">
        <f>IF(K15=1,K14/(20/3^0.5),(K14/(20*3^0.5)))</f>
        <v>0</v>
      </c>
      <c r="L17" s="598"/>
    </row>
    <row r="18" spans="1:12" ht="34.5" customHeight="1">
      <c r="A18" s="204"/>
      <c r="B18" s="476" t="s">
        <v>1539</v>
      </c>
      <c r="C18" s="456" t="s">
        <v>9</v>
      </c>
      <c r="D18" s="593">
        <f>IF(D15=1,D14/(380/3^0.5),(D14/(380*3^0.5)))*1000</f>
        <v>0</v>
      </c>
      <c r="E18" s="594"/>
      <c r="F18" s="444" t="s">
        <v>1453</v>
      </c>
      <c r="G18" s="449">
        <v>250</v>
      </c>
      <c r="I18" s="470" t="s">
        <v>1539</v>
      </c>
      <c r="J18" s="456" t="s">
        <v>9</v>
      </c>
      <c r="K18" s="597">
        <f>IF(K15=1,K14/(380/3^0.5),(K14/(380*3^0.5)))*1000</f>
        <v>0</v>
      </c>
      <c r="L18" s="598"/>
    </row>
    <row r="19" spans="1:12" ht="30" customHeight="1">
      <c r="A19" s="204"/>
      <c r="B19" s="477" t="s">
        <v>1531</v>
      </c>
      <c r="C19" s="455" t="s">
        <v>9</v>
      </c>
      <c r="D19" s="593">
        <f>IF(D15=1,D14/(380/3^0.5),(D14/(380*3^0.5)))</f>
        <v>0</v>
      </c>
      <c r="E19" s="594"/>
      <c r="F19" s="207"/>
      <c r="G19" s="440"/>
      <c r="I19" s="472" t="s">
        <v>1531</v>
      </c>
      <c r="J19" s="455" t="s">
        <v>9</v>
      </c>
      <c r="K19" s="597">
        <f>IF(K15=1,K14/(380/3^0.5),(K14/(380*3^0.5)))</f>
        <v>0</v>
      </c>
      <c r="L19" s="598"/>
    </row>
    <row r="20" spans="1:12" ht="30" customHeight="1" thickBot="1">
      <c r="A20" s="204"/>
      <c r="B20" s="478" t="s">
        <v>1540</v>
      </c>
      <c r="C20" s="474" t="s">
        <v>9</v>
      </c>
      <c r="D20" s="589" t="e">
        <f>D16/D18</f>
        <v>#DIV/0!</v>
      </c>
      <c r="E20" s="590"/>
      <c r="F20" s="207"/>
      <c r="G20" s="440"/>
      <c r="I20" s="473" t="s">
        <v>1531</v>
      </c>
      <c r="J20" s="474" t="s">
        <v>9</v>
      </c>
      <c r="K20" s="595" t="e">
        <f>K16/K18</f>
        <v>#DIV/0!</v>
      </c>
      <c r="L20" s="596"/>
    </row>
    <row r="21" spans="1:12" ht="9.75" customHeight="1">
      <c r="A21" s="204"/>
      <c r="B21" s="463" t="s">
        <v>1540</v>
      </c>
      <c r="C21" s="464" t="s">
        <v>9</v>
      </c>
      <c r="D21" s="574">
        <v>1</v>
      </c>
      <c r="E21" s="574"/>
      <c r="F21" s="465"/>
      <c r="G21" s="466"/>
      <c r="H21" s="467"/>
      <c r="I21" s="463" t="s">
        <v>1531</v>
      </c>
      <c r="J21" s="464" t="s">
        <v>9</v>
      </c>
      <c r="K21" s="574">
        <v>1</v>
      </c>
      <c r="L21" s="574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1"/>
      <c r="C24" s="572"/>
      <c r="D24" s="572"/>
      <c r="E24" s="573"/>
      <c r="I24" s="571"/>
      <c r="J24" s="572"/>
      <c r="K24" s="572"/>
      <c r="L24" s="573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8"/>
      <c r="C1" s="618"/>
      <c r="D1" s="61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5.4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5232600</v>
      </c>
    </row>
    <row r="10" spans="2:11" ht="20.100000000000001" customHeight="1">
      <c r="B10" s="291" t="s">
        <v>1446</v>
      </c>
      <c r="C10" s="292" t="s">
        <v>9</v>
      </c>
      <c r="D10" s="298">
        <f ca="1">RAB!K128</f>
        <v>67993212.326399997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1359864.2465279999</v>
      </c>
    </row>
    <row r="12" spans="2:11" ht="9" customHeight="1">
      <c r="B12" s="619"/>
      <c r="C12" s="619"/>
      <c r="D12" s="619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1641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6*0.9</f>
        <v>5.4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X22" sqref="X22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0" t="s">
        <v>1357</v>
      </c>
      <c r="C3" s="620"/>
      <c r="D3" s="620"/>
      <c r="E3" s="620"/>
      <c r="F3" s="305" t="str">
        <f>DATA!D14</f>
        <v xml:space="preserve">MASY. DESA BALEROMO 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1" t="s">
        <v>1349</v>
      </c>
      <c r="C5" s="621" t="s">
        <v>1358</v>
      </c>
      <c r="D5" s="622" t="s">
        <v>1359</v>
      </c>
      <c r="E5" s="622" t="s">
        <v>1360</v>
      </c>
      <c r="F5" s="621" t="s">
        <v>1361</v>
      </c>
      <c r="G5" s="621"/>
      <c r="H5" s="621"/>
      <c r="I5" s="621"/>
      <c r="J5" s="621"/>
      <c r="K5" s="621" t="s">
        <v>1362</v>
      </c>
      <c r="L5" s="621"/>
      <c r="M5" s="307"/>
      <c r="N5" s="625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23" t="s">
        <v>1367</v>
      </c>
      <c r="U5" s="310"/>
    </row>
    <row r="6" spans="1:21" ht="20.100000000000001" customHeight="1">
      <c r="B6" s="621"/>
      <c r="C6" s="621"/>
      <c r="D6" s="621"/>
      <c r="E6" s="62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6"/>
      <c r="O6" s="621"/>
      <c r="P6" s="621"/>
      <c r="Q6" s="621"/>
      <c r="R6" s="308"/>
      <c r="S6" s="309"/>
      <c r="T6" s="621"/>
      <c r="U6" s="312"/>
    </row>
    <row r="7" spans="1:21" ht="20.100000000000001" customHeight="1">
      <c r="A7" s="313">
        <v>0</v>
      </c>
      <c r="B7" s="314">
        <v>2023</v>
      </c>
      <c r="C7" s="479">
        <f>DATA!D8*DATA!D26*1</f>
        <v>216</v>
      </c>
      <c r="D7" s="316">
        <f>C7*4/24</f>
        <v>36</v>
      </c>
      <c r="E7" s="316">
        <f>C7-D7</f>
        <v>180</v>
      </c>
      <c r="F7" s="317">
        <f ca="1">DATA!D10/1000000</f>
        <v>67.993212326399998</v>
      </c>
      <c r="G7" s="318">
        <f ca="1">DATA!$D$11/1000000</f>
        <v>1.359864246528</v>
      </c>
      <c r="H7" s="318">
        <f>C7*DATA!$D$5/1000000</f>
        <v>0.23417100991150216</v>
      </c>
      <c r="I7" s="318">
        <f>(C7*DATA!$D$5*DATA!$D$7)/1000000</f>
        <v>5.2688477230087979E-3</v>
      </c>
      <c r="J7" s="316">
        <f ca="1">SUM(F7:I7)</f>
        <v>69.592516430562512</v>
      </c>
      <c r="K7" s="319">
        <f>DATA!D9/1000000</f>
        <v>5.2325999999999997</v>
      </c>
      <c r="L7" s="316">
        <f>((D7*DATA!$D$23)/1000000)+((E7*DATA!$D$24)/1000000)</f>
        <v>0.31205519999999998</v>
      </c>
      <c r="M7" s="316">
        <f>K7+L7</f>
        <v>5.5446551999999993</v>
      </c>
      <c r="N7" s="316">
        <f ca="1">M7-J7</f>
        <v>-64.047861230562518</v>
      </c>
      <c r="O7" s="314">
        <v>1</v>
      </c>
      <c r="P7" s="316">
        <f ca="1">O7*N7</f>
        <v>-64.047861230562518</v>
      </c>
      <c r="Q7" s="316">
        <f ca="1">P7</f>
        <v>-64.047861230562518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2592</v>
      </c>
      <c r="D8" s="316">
        <f>C8*4/24</f>
        <v>432</v>
      </c>
      <c r="E8" s="316">
        <f t="shared" ref="E8:E32" si="0">C8-D8</f>
        <v>2160</v>
      </c>
      <c r="F8" s="314"/>
      <c r="G8" s="318">
        <f ca="1">DATA!$D$11/1000000</f>
        <v>1.359864246528</v>
      </c>
      <c r="H8" s="318">
        <f>C8*DATA!$D$5/1000000</f>
        <v>2.8100521189380259</v>
      </c>
      <c r="I8" s="318">
        <f>(C8*DATA!$D$5*DATA!$D$7)/1000000</f>
        <v>6.3226172676105585E-2</v>
      </c>
      <c r="J8" s="316">
        <f t="shared" ref="J8:J32" ca="1" si="1">SUM(F8:I8)</f>
        <v>4.2331425381421317</v>
      </c>
      <c r="K8" s="321"/>
      <c r="L8" s="316">
        <f>((D8*DATA!$D$23)/1000000)+((E8*DATA!$D$24)/1000000)</f>
        <v>3.7446624000000002</v>
      </c>
      <c r="M8" s="316">
        <f t="shared" ref="M8:M32" si="2">K8+L8</f>
        <v>3.7446624000000002</v>
      </c>
      <c r="N8" s="316">
        <f ca="1">M8-J8</f>
        <v>-0.48848013814213154</v>
      </c>
      <c r="O8" s="315">
        <f>1/(1+'[93]Asumsi I'!$C$3)^(KKF!A8)</f>
        <v>0.89285714285714279</v>
      </c>
      <c r="P8" s="316">
        <f ca="1">O8*N8</f>
        <v>-0.43614298048404598</v>
      </c>
      <c r="Q8" s="316">
        <f ca="1">Q7+P8</f>
        <v>-64.484004211046567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2592</v>
      </c>
      <c r="D9" s="316">
        <f t="shared" ref="D9:D32" si="5">C9*4/24</f>
        <v>432</v>
      </c>
      <c r="E9" s="316">
        <f t="shared" si="0"/>
        <v>2160</v>
      </c>
      <c r="F9" s="314"/>
      <c r="G9" s="318">
        <f ca="1">DATA!$D$11/1000000</f>
        <v>1.359864246528</v>
      </c>
      <c r="H9" s="318">
        <f>C9*DATA!$D$5/1000000</f>
        <v>2.8100521189380259</v>
      </c>
      <c r="I9" s="318">
        <f>(C9*DATA!$D$5*DATA!$D$7)/1000000</f>
        <v>6.3226172676105585E-2</v>
      </c>
      <c r="J9" s="316">
        <f t="shared" ca="1" si="1"/>
        <v>4.2331425381421317</v>
      </c>
      <c r="K9" s="316"/>
      <c r="L9" s="316">
        <f>((D9*DATA!$D$23)/1000000)+((E9*DATA!$D$24)/1000000)</f>
        <v>3.7446624000000002</v>
      </c>
      <c r="M9" s="316">
        <f t="shared" si="2"/>
        <v>3.7446624000000002</v>
      </c>
      <c r="N9" s="316">
        <f t="shared" ref="N9:N32" ca="1" si="6">M9-J9</f>
        <v>-0.48848013814213154</v>
      </c>
      <c r="O9" s="322">
        <f>1/(1+'[93]Asumsi I'!$C$3)^(KKF!A9)</f>
        <v>0.79719387755102034</v>
      </c>
      <c r="P9" s="316">
        <f t="shared" ref="P9:P32" ca="1" si="7">O9*N9</f>
        <v>-0.38941337543218391</v>
      </c>
      <c r="Q9" s="316">
        <f ca="1">Q8+P9</f>
        <v>-64.873417586478752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2592</v>
      </c>
      <c r="D10" s="316">
        <f t="shared" si="5"/>
        <v>432</v>
      </c>
      <c r="E10" s="316">
        <f t="shared" si="0"/>
        <v>2160</v>
      </c>
      <c r="F10" s="314"/>
      <c r="G10" s="318">
        <f ca="1">DATA!$D$11/1000000</f>
        <v>1.359864246528</v>
      </c>
      <c r="H10" s="318">
        <f>C10*DATA!$D$5/1000000</f>
        <v>2.8100521189380259</v>
      </c>
      <c r="I10" s="318">
        <f>(C10*DATA!$D$5*DATA!$D$7)/1000000</f>
        <v>6.3226172676105585E-2</v>
      </c>
      <c r="J10" s="316">
        <f t="shared" ca="1" si="1"/>
        <v>4.2331425381421317</v>
      </c>
      <c r="K10" s="314"/>
      <c r="L10" s="316">
        <f>((D10*DATA!$D$23)/1000000)+((E10*DATA!$D$24)/1000000)</f>
        <v>3.7446624000000002</v>
      </c>
      <c r="M10" s="316">
        <f t="shared" si="2"/>
        <v>3.7446624000000002</v>
      </c>
      <c r="N10" s="316">
        <f t="shared" ca="1" si="6"/>
        <v>-0.48848013814213154</v>
      </c>
      <c r="O10" s="315">
        <f>1/(1+'[93]Asumsi I'!$C$3)^(KKF!A10)</f>
        <v>0.71178024781341087</v>
      </c>
      <c r="P10" s="316">
        <f t="shared" ca="1" si="7"/>
        <v>-0.34769051377873555</v>
      </c>
      <c r="Q10" s="316">
        <f t="shared" ref="Q10:Q30" ca="1" si="9">Q9+P10</f>
        <v>-65.221108100257482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2592</v>
      </c>
      <c r="D11" s="316">
        <f t="shared" si="5"/>
        <v>432</v>
      </c>
      <c r="E11" s="316">
        <f t="shared" si="0"/>
        <v>2160</v>
      </c>
      <c r="F11" s="314"/>
      <c r="G11" s="318">
        <f ca="1">DATA!$D$11/1000000</f>
        <v>1.359864246528</v>
      </c>
      <c r="H11" s="318">
        <f>C11*DATA!$D$5/1000000</f>
        <v>2.8100521189380259</v>
      </c>
      <c r="I11" s="318">
        <f>(C11*DATA!$D$5*DATA!$D$7)/1000000</f>
        <v>6.3226172676105585E-2</v>
      </c>
      <c r="J11" s="316">
        <f t="shared" ca="1" si="1"/>
        <v>4.2331425381421317</v>
      </c>
      <c r="K11" s="314"/>
      <c r="L11" s="316">
        <f>((D11*DATA!$D$23)/1000000)+((E11*DATA!$D$24)/1000000)</f>
        <v>3.7446624000000002</v>
      </c>
      <c r="M11" s="316">
        <f t="shared" si="2"/>
        <v>3.7446624000000002</v>
      </c>
      <c r="N11" s="316">
        <f t="shared" ca="1" si="6"/>
        <v>-0.48848013814213154</v>
      </c>
      <c r="O11" s="315">
        <f>1/(1+'[93]Asumsi I'!$C$3)^(KKF!A11)</f>
        <v>0.63551807840483121</v>
      </c>
      <c r="P11" s="316">
        <f t="shared" ca="1" si="7"/>
        <v>-0.31043795873101393</v>
      </c>
      <c r="Q11" s="316">
        <f t="shared" ca="1" si="9"/>
        <v>-65.531546058988496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2592</v>
      </c>
      <c r="D12" s="316">
        <f t="shared" si="5"/>
        <v>432</v>
      </c>
      <c r="E12" s="316">
        <f t="shared" si="0"/>
        <v>2160</v>
      </c>
      <c r="F12" s="314"/>
      <c r="G12" s="318">
        <f ca="1">DATA!$D$11/1000000</f>
        <v>1.359864246528</v>
      </c>
      <c r="H12" s="318">
        <f>C12*DATA!$D$5/1000000</f>
        <v>2.8100521189380259</v>
      </c>
      <c r="I12" s="318">
        <f>(C12*DATA!$D$5*DATA!$D$7)/1000000</f>
        <v>6.3226172676105585E-2</v>
      </c>
      <c r="J12" s="316">
        <f t="shared" ca="1" si="1"/>
        <v>4.2331425381421317</v>
      </c>
      <c r="K12" s="314"/>
      <c r="L12" s="316">
        <f>((D12*DATA!$D$23)/1000000)+((E12*DATA!$D$24)/1000000)</f>
        <v>3.7446624000000002</v>
      </c>
      <c r="M12" s="316">
        <f t="shared" si="2"/>
        <v>3.7446624000000002</v>
      </c>
      <c r="N12" s="316">
        <f t="shared" ca="1" si="6"/>
        <v>-0.48848013814213154</v>
      </c>
      <c r="O12" s="315">
        <f>1/(1+'[93]Asumsi I'!$C$3)^(KKF!A12)</f>
        <v>0.56742685571859919</v>
      </c>
      <c r="P12" s="316">
        <f t="shared" ca="1" si="7"/>
        <v>-0.27717674886697669</v>
      </c>
      <c r="Q12" s="316">
        <f t="shared" ca="1" si="9"/>
        <v>-65.808722807855474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2592</v>
      </c>
      <c r="D13" s="316">
        <f t="shared" si="5"/>
        <v>432</v>
      </c>
      <c r="E13" s="316">
        <f t="shared" si="0"/>
        <v>2160</v>
      </c>
      <c r="F13" s="314"/>
      <c r="G13" s="318">
        <f ca="1">DATA!$D$11/1000000</f>
        <v>1.359864246528</v>
      </c>
      <c r="H13" s="318">
        <f>C13*DATA!$D$5/1000000</f>
        <v>2.8100521189380259</v>
      </c>
      <c r="I13" s="318">
        <f>(C13*DATA!$D$5*DATA!$D$7)/1000000</f>
        <v>6.3226172676105585E-2</v>
      </c>
      <c r="J13" s="316">
        <f t="shared" ca="1" si="1"/>
        <v>4.2331425381421317</v>
      </c>
      <c r="K13" s="314"/>
      <c r="L13" s="316">
        <f>((D13*DATA!$D$23)/1000000)+((E13*DATA!$D$24)/1000000)</f>
        <v>3.7446624000000002</v>
      </c>
      <c r="M13" s="316">
        <f t="shared" si="2"/>
        <v>3.7446624000000002</v>
      </c>
      <c r="N13" s="316">
        <f t="shared" ca="1" si="6"/>
        <v>-0.48848013814213154</v>
      </c>
      <c r="O13" s="315">
        <f>1/(1+'[93]Asumsi I'!$C$3)^(KKF!A13)</f>
        <v>0.50663112117732068</v>
      </c>
      <c r="P13" s="316">
        <f t="shared" ca="1" si="7"/>
        <v>-0.2474792400598006</v>
      </c>
      <c r="Q13" s="316">
        <f t="shared" ca="1" si="9"/>
        <v>-66.056202047915278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2592</v>
      </c>
      <c r="D14" s="316">
        <f t="shared" si="5"/>
        <v>432</v>
      </c>
      <c r="E14" s="316">
        <f t="shared" si="0"/>
        <v>2160</v>
      </c>
      <c r="F14" s="314"/>
      <c r="G14" s="318">
        <f ca="1">DATA!$D$11/1000000</f>
        <v>1.359864246528</v>
      </c>
      <c r="H14" s="318">
        <f>C14*DATA!$D$5/1000000</f>
        <v>2.8100521189380259</v>
      </c>
      <c r="I14" s="318">
        <f>(C14*DATA!$D$5*DATA!$D$7)/1000000</f>
        <v>6.3226172676105585E-2</v>
      </c>
      <c r="J14" s="316">
        <f t="shared" ca="1" si="1"/>
        <v>4.2331425381421317</v>
      </c>
      <c r="K14" s="314"/>
      <c r="L14" s="316">
        <f>((D14*DATA!$D$23)/1000000)+((E14*DATA!$D$24)/1000000)</f>
        <v>3.7446624000000002</v>
      </c>
      <c r="M14" s="316">
        <f t="shared" si="2"/>
        <v>3.7446624000000002</v>
      </c>
      <c r="N14" s="316">
        <f t="shared" ca="1" si="6"/>
        <v>-0.48848013814213154</v>
      </c>
      <c r="O14" s="315">
        <f>1/(1+'[93]Asumsi I'!$C$3)^(KKF!A14)</f>
        <v>0.45234921533689343</v>
      </c>
      <c r="P14" s="316">
        <f t="shared" ca="1" si="7"/>
        <v>-0.22096360719625049</v>
      </c>
      <c r="Q14" s="316">
        <f t="shared" ca="1" si="9"/>
        <v>-66.277165655111531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2592</v>
      </c>
      <c r="D15" s="316">
        <f t="shared" si="5"/>
        <v>432</v>
      </c>
      <c r="E15" s="316">
        <f t="shared" si="0"/>
        <v>2160</v>
      </c>
      <c r="F15" s="314"/>
      <c r="G15" s="318">
        <f ca="1">DATA!$D$11/1000000</f>
        <v>1.359864246528</v>
      </c>
      <c r="H15" s="318">
        <f>C15*DATA!$D$5/1000000</f>
        <v>2.8100521189380259</v>
      </c>
      <c r="I15" s="318">
        <f>(C15*DATA!$D$5*DATA!$D$7)/1000000</f>
        <v>6.3226172676105585E-2</v>
      </c>
      <c r="J15" s="316">
        <f t="shared" ca="1" si="1"/>
        <v>4.2331425381421317</v>
      </c>
      <c r="K15" s="314"/>
      <c r="L15" s="316">
        <f>((D15*DATA!$D$23)/1000000)+((E15*DATA!$D$24)/1000000)</f>
        <v>3.7446624000000002</v>
      </c>
      <c r="M15" s="316">
        <f t="shared" si="2"/>
        <v>3.7446624000000002</v>
      </c>
      <c r="N15" s="316">
        <f t="shared" ca="1" si="6"/>
        <v>-0.48848013814213154</v>
      </c>
      <c r="O15" s="315">
        <f>1/(1+'[93]Asumsi I'!$C$3)^(KKF!A15)</f>
        <v>0.4038832279793691</v>
      </c>
      <c r="P15" s="316">
        <f t="shared" ca="1" si="7"/>
        <v>-0.19728893499665223</v>
      </c>
      <c r="Q15" s="316">
        <f t="shared" ca="1" si="9"/>
        <v>-66.474454590108181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2592</v>
      </c>
      <c r="D16" s="316">
        <f t="shared" si="5"/>
        <v>432</v>
      </c>
      <c r="E16" s="316">
        <f t="shared" si="0"/>
        <v>2160</v>
      </c>
      <c r="F16" s="314"/>
      <c r="G16" s="318">
        <f ca="1">DATA!$D$11/1000000</f>
        <v>1.359864246528</v>
      </c>
      <c r="H16" s="318">
        <f>C16*DATA!$D$5/1000000</f>
        <v>2.8100521189380259</v>
      </c>
      <c r="I16" s="318">
        <f>(C16*DATA!$D$5*DATA!$D$7)/1000000</f>
        <v>6.3226172676105585E-2</v>
      </c>
      <c r="J16" s="316">
        <f t="shared" ca="1" si="1"/>
        <v>4.2331425381421317</v>
      </c>
      <c r="K16" s="314"/>
      <c r="L16" s="316">
        <f>((D16*DATA!$D$23)/1000000)+((E16*DATA!$D$24)/1000000)</f>
        <v>3.7446624000000002</v>
      </c>
      <c r="M16" s="316">
        <f t="shared" si="2"/>
        <v>3.7446624000000002</v>
      </c>
      <c r="N16" s="316">
        <f t="shared" ca="1" si="6"/>
        <v>-0.48848013814213154</v>
      </c>
      <c r="O16" s="315">
        <f>1/(1+'[93]Asumsi I'!$C$3)^(KKF!A16)</f>
        <v>0.36061002498157957</v>
      </c>
      <c r="P16" s="316">
        <f t="shared" ca="1" si="7"/>
        <v>-0.17615083481843949</v>
      </c>
      <c r="Q16" s="316">
        <f t="shared" ca="1" si="9"/>
        <v>-66.650605424926624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2592</v>
      </c>
      <c r="D17" s="316">
        <f t="shared" si="5"/>
        <v>432</v>
      </c>
      <c r="E17" s="316">
        <f t="shared" si="0"/>
        <v>2160</v>
      </c>
      <c r="F17" s="314"/>
      <c r="G17" s="318">
        <f ca="1">DATA!$D$11/1000000</f>
        <v>1.359864246528</v>
      </c>
      <c r="H17" s="318">
        <f>C17*DATA!$D$5/1000000</f>
        <v>2.8100521189380259</v>
      </c>
      <c r="I17" s="318">
        <f>(C17*DATA!$D$5*DATA!$D$7)/1000000</f>
        <v>6.3226172676105585E-2</v>
      </c>
      <c r="J17" s="316">
        <f t="shared" ca="1" si="1"/>
        <v>4.2331425381421317</v>
      </c>
      <c r="K17" s="314"/>
      <c r="L17" s="316">
        <f>((D17*DATA!$D$23)/1000000)+((E17*DATA!$D$24)/1000000)</f>
        <v>3.7446624000000002</v>
      </c>
      <c r="M17" s="316">
        <f t="shared" si="2"/>
        <v>3.7446624000000002</v>
      </c>
      <c r="N17" s="316">
        <f t="shared" ca="1" si="6"/>
        <v>-0.48848013814213154</v>
      </c>
      <c r="O17" s="315">
        <f>1/(1+'[93]Asumsi I'!$C$3)^(KKF!A17)</f>
        <v>0.32197323659069599</v>
      </c>
      <c r="P17" s="316">
        <f t="shared" ca="1" si="7"/>
        <v>-0.15727753108789239</v>
      </c>
      <c r="Q17" s="316">
        <f t="shared" ca="1" si="9"/>
        <v>-66.80788295601451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2592</v>
      </c>
      <c r="D18" s="316">
        <f t="shared" si="5"/>
        <v>432</v>
      </c>
      <c r="E18" s="316">
        <f t="shared" si="0"/>
        <v>2160</v>
      </c>
      <c r="F18" s="314"/>
      <c r="G18" s="318">
        <f ca="1">DATA!$D$11/1000000</f>
        <v>1.359864246528</v>
      </c>
      <c r="H18" s="318">
        <f>C18*DATA!$D$5/1000000</f>
        <v>2.8100521189380259</v>
      </c>
      <c r="I18" s="318">
        <f>(C18*DATA!$D$5*DATA!$D$7)/1000000</f>
        <v>6.3226172676105585E-2</v>
      </c>
      <c r="J18" s="316">
        <f t="shared" ca="1" si="1"/>
        <v>4.2331425381421317</v>
      </c>
      <c r="K18" s="314"/>
      <c r="L18" s="316">
        <f>((D18*DATA!$D$23)/1000000)+((E18*DATA!$D$24)/1000000)</f>
        <v>3.7446624000000002</v>
      </c>
      <c r="M18" s="316">
        <f t="shared" si="2"/>
        <v>3.7446624000000002</v>
      </c>
      <c r="N18" s="316">
        <f t="shared" ca="1" si="6"/>
        <v>-0.48848013814213154</v>
      </c>
      <c r="O18" s="315">
        <f>1/(1+'[93]Asumsi I'!$C$3)^(KKF!A18)</f>
        <v>0.28747610409883567</v>
      </c>
      <c r="P18" s="316">
        <f t="shared" ca="1" si="7"/>
        <v>-0.14042636704276104</v>
      </c>
      <c r="Q18" s="316">
        <f t="shared" ca="1" si="9"/>
        <v>-66.948309323057273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2592</v>
      </c>
      <c r="D19" s="316">
        <f t="shared" si="5"/>
        <v>432</v>
      </c>
      <c r="E19" s="316">
        <f t="shared" si="0"/>
        <v>2160</v>
      </c>
      <c r="F19" s="314"/>
      <c r="G19" s="318">
        <f ca="1">DATA!$D$11/1000000</f>
        <v>1.359864246528</v>
      </c>
      <c r="H19" s="318">
        <f>C19*DATA!$D$5/1000000</f>
        <v>2.8100521189380259</v>
      </c>
      <c r="I19" s="318">
        <f>(C19*DATA!$D$5*DATA!$D$7)/1000000</f>
        <v>6.3226172676105585E-2</v>
      </c>
      <c r="J19" s="316">
        <f t="shared" ca="1" si="1"/>
        <v>4.2331425381421317</v>
      </c>
      <c r="K19" s="314"/>
      <c r="L19" s="316">
        <f>((D19*DATA!$D$23)/1000000)+((E19*DATA!$D$24)/1000000)</f>
        <v>3.7446624000000002</v>
      </c>
      <c r="M19" s="316">
        <f t="shared" si="2"/>
        <v>3.7446624000000002</v>
      </c>
      <c r="N19" s="316">
        <f t="shared" ca="1" si="6"/>
        <v>-0.48848013814213154</v>
      </c>
      <c r="O19" s="315">
        <f>1/(1+'[93]Asumsi I'!$C$3)^(KKF!A19)</f>
        <v>0.25667509294538904</v>
      </c>
      <c r="P19" s="316">
        <f t="shared" ca="1" si="7"/>
        <v>-0.1253806848596081</v>
      </c>
      <c r="Q19" s="316">
        <f t="shared" ca="1" si="9"/>
        <v>-67.073690007916881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2592</v>
      </c>
      <c r="D20" s="316">
        <f t="shared" si="5"/>
        <v>432</v>
      </c>
      <c r="E20" s="316">
        <f t="shared" si="0"/>
        <v>2160</v>
      </c>
      <c r="F20" s="314"/>
      <c r="G20" s="318">
        <f ca="1">DATA!$D$11/1000000</f>
        <v>1.359864246528</v>
      </c>
      <c r="H20" s="318">
        <f>C20*DATA!$D$5/1000000</f>
        <v>2.8100521189380259</v>
      </c>
      <c r="I20" s="318">
        <f>(C20*DATA!$D$5*DATA!$D$7)/1000000</f>
        <v>6.3226172676105585E-2</v>
      </c>
      <c r="J20" s="316">
        <f t="shared" ca="1" si="1"/>
        <v>4.2331425381421317</v>
      </c>
      <c r="K20" s="314"/>
      <c r="L20" s="316">
        <f>((D20*DATA!$D$23)/1000000)+((E20*DATA!$D$24)/1000000)</f>
        <v>3.7446624000000002</v>
      </c>
      <c r="M20" s="316">
        <f t="shared" si="2"/>
        <v>3.7446624000000002</v>
      </c>
      <c r="N20" s="316">
        <f t="shared" ca="1" si="6"/>
        <v>-0.48848013814213154</v>
      </c>
      <c r="O20" s="315">
        <f>1/(1+'[93]Asumsi I'!$C$3)^(KKF!A20)</f>
        <v>0.22917419012981158</v>
      </c>
      <c r="P20" s="316">
        <f t="shared" ca="1" si="7"/>
        <v>-0.11194704005322148</v>
      </c>
      <c r="Q20" s="316">
        <f t="shared" ca="1" si="9"/>
        <v>-67.185637047970104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2592</v>
      </c>
      <c r="D21" s="316">
        <f t="shared" si="5"/>
        <v>432</v>
      </c>
      <c r="E21" s="316">
        <f t="shared" si="0"/>
        <v>2160</v>
      </c>
      <c r="F21" s="314"/>
      <c r="G21" s="318">
        <f ca="1">DATA!$D$11/1000000</f>
        <v>1.359864246528</v>
      </c>
      <c r="H21" s="318">
        <f>C21*DATA!$D$5/1000000</f>
        <v>2.8100521189380259</v>
      </c>
      <c r="I21" s="318">
        <f>(C21*DATA!$D$5*DATA!$D$7)/1000000</f>
        <v>6.3226172676105585E-2</v>
      </c>
      <c r="J21" s="316">
        <f t="shared" ca="1" si="1"/>
        <v>4.2331425381421317</v>
      </c>
      <c r="K21" s="314"/>
      <c r="L21" s="316">
        <f>((D21*DATA!$D$23)/1000000)+((E21*DATA!$D$24)/1000000)</f>
        <v>3.7446624000000002</v>
      </c>
      <c r="M21" s="316">
        <f t="shared" si="2"/>
        <v>3.7446624000000002</v>
      </c>
      <c r="N21" s="316">
        <f t="shared" ca="1" si="6"/>
        <v>-0.48848013814213154</v>
      </c>
      <c r="O21" s="315">
        <f>1/(1+'[93]Asumsi I'!$C$3)^(KKF!A21)</f>
        <v>0.20461981261590317</v>
      </c>
      <c r="P21" s="316">
        <f t="shared" ca="1" si="7"/>
        <v>-9.9952714333233453E-2</v>
      </c>
      <c r="Q21" s="316">
        <f t="shared" ca="1" si="9"/>
        <v>-67.285589762303331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2592</v>
      </c>
      <c r="D22" s="316">
        <f t="shared" si="5"/>
        <v>432</v>
      </c>
      <c r="E22" s="316">
        <f t="shared" si="0"/>
        <v>2160</v>
      </c>
      <c r="F22" s="314"/>
      <c r="G22" s="318">
        <f ca="1">DATA!$D$11/1000000</f>
        <v>1.359864246528</v>
      </c>
      <c r="H22" s="318">
        <f>C22*DATA!$D$5/1000000</f>
        <v>2.8100521189380259</v>
      </c>
      <c r="I22" s="318">
        <f>(C22*DATA!$D$5*DATA!$D$7)/1000000</f>
        <v>6.3226172676105585E-2</v>
      </c>
      <c r="J22" s="316">
        <f t="shared" ca="1" si="1"/>
        <v>4.2331425381421317</v>
      </c>
      <c r="K22" s="314"/>
      <c r="L22" s="316">
        <f>((D22*DATA!$D$23)/1000000)+((E22*DATA!$D$24)/1000000)</f>
        <v>3.7446624000000002</v>
      </c>
      <c r="M22" s="316">
        <f t="shared" si="2"/>
        <v>3.7446624000000002</v>
      </c>
      <c r="N22" s="316">
        <f t="shared" ca="1" si="6"/>
        <v>-0.48848013814213154</v>
      </c>
      <c r="O22" s="315">
        <f>1/(1+'[93]Asumsi I'!$C$3)^(KKF!A22)</f>
        <v>0.18269626126419927</v>
      </c>
      <c r="P22" s="316">
        <f t="shared" ca="1" si="7"/>
        <v>-8.9243494940387011E-2</v>
      </c>
      <c r="Q22" s="316">
        <f t="shared" ca="1" si="9"/>
        <v>-67.374833257243722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2592</v>
      </c>
      <c r="D23" s="316">
        <f t="shared" si="5"/>
        <v>432</v>
      </c>
      <c r="E23" s="316">
        <f t="shared" si="0"/>
        <v>2160</v>
      </c>
      <c r="F23" s="314"/>
      <c r="G23" s="318">
        <f ca="1">DATA!$D$11/1000000</f>
        <v>1.359864246528</v>
      </c>
      <c r="H23" s="318">
        <f>C23*DATA!$D$5/1000000</f>
        <v>2.8100521189380259</v>
      </c>
      <c r="I23" s="318">
        <f>(C23*DATA!$D$5*DATA!$D$7)/1000000</f>
        <v>6.3226172676105585E-2</v>
      </c>
      <c r="J23" s="316">
        <f t="shared" ca="1" si="1"/>
        <v>4.2331425381421317</v>
      </c>
      <c r="K23" s="314"/>
      <c r="L23" s="316">
        <f>((D23*DATA!$D$23)/1000000)+((E23*DATA!$D$24)/1000000)</f>
        <v>3.7446624000000002</v>
      </c>
      <c r="M23" s="316">
        <f t="shared" si="2"/>
        <v>3.7446624000000002</v>
      </c>
      <c r="N23" s="316">
        <f t="shared" ca="1" si="6"/>
        <v>-0.48848013814213154</v>
      </c>
      <c r="O23" s="315">
        <f>1/(1+'[93]Asumsi I'!$C$3)^(KKF!A23)</f>
        <v>0.16312166184303503</v>
      </c>
      <c r="P23" s="316">
        <f t="shared" ca="1" si="7"/>
        <v>-7.9681691911059824E-2</v>
      </c>
      <c r="Q23" s="316">
        <f t="shared" ca="1" si="9"/>
        <v>-67.454514949154785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2592</v>
      </c>
      <c r="D24" s="316">
        <f t="shared" si="5"/>
        <v>432</v>
      </c>
      <c r="E24" s="316">
        <f t="shared" si="0"/>
        <v>2160</v>
      </c>
      <c r="F24" s="314"/>
      <c r="G24" s="318">
        <f ca="1">DATA!$D$11/1000000</f>
        <v>1.359864246528</v>
      </c>
      <c r="H24" s="318">
        <f>C24*DATA!$D$5/1000000</f>
        <v>2.8100521189380259</v>
      </c>
      <c r="I24" s="318">
        <f>(C24*DATA!$D$5*DATA!$D$7)/1000000</f>
        <v>6.3226172676105585E-2</v>
      </c>
      <c r="J24" s="316">
        <f t="shared" ca="1" si="1"/>
        <v>4.2331425381421317</v>
      </c>
      <c r="K24" s="314"/>
      <c r="L24" s="316">
        <f>((D24*DATA!$D$23)/1000000)+((E24*DATA!$D$24)/1000000)</f>
        <v>3.7446624000000002</v>
      </c>
      <c r="M24" s="316">
        <f t="shared" si="2"/>
        <v>3.7446624000000002</v>
      </c>
      <c r="N24" s="316">
        <f t="shared" ca="1" si="6"/>
        <v>-0.48848013814213154</v>
      </c>
      <c r="O24" s="315">
        <f>1/(1+'[93]Asumsi I'!$C$3)^(KKF!A24)</f>
        <v>0.14564434093128129</v>
      </c>
      <c r="P24" s="316">
        <f t="shared" ca="1" si="7"/>
        <v>-7.114436777773199E-2</v>
      </c>
      <c r="Q24" s="316">
        <f t="shared" ca="1" si="9"/>
        <v>-67.525659316932519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2592</v>
      </c>
      <c r="D25" s="316">
        <f t="shared" si="5"/>
        <v>432</v>
      </c>
      <c r="E25" s="316">
        <f t="shared" si="0"/>
        <v>2160</v>
      </c>
      <c r="F25" s="314"/>
      <c r="G25" s="318">
        <f ca="1">DATA!$D$11/1000000</f>
        <v>1.359864246528</v>
      </c>
      <c r="H25" s="318">
        <f>C25*DATA!$D$5/1000000</f>
        <v>2.8100521189380259</v>
      </c>
      <c r="I25" s="318">
        <f>(C25*DATA!$D$5*DATA!$D$7)/1000000</f>
        <v>6.3226172676105585E-2</v>
      </c>
      <c r="J25" s="316">
        <f t="shared" ca="1" si="1"/>
        <v>4.2331425381421317</v>
      </c>
      <c r="K25" s="314"/>
      <c r="L25" s="316">
        <f>((D25*DATA!$D$23)/1000000)+((E25*DATA!$D$24)/1000000)</f>
        <v>3.7446624000000002</v>
      </c>
      <c r="M25" s="316">
        <f t="shared" si="2"/>
        <v>3.7446624000000002</v>
      </c>
      <c r="N25" s="316">
        <f t="shared" ca="1" si="6"/>
        <v>-0.48848013814213154</v>
      </c>
      <c r="O25" s="315">
        <f>1/(1+'[93]Asumsi I'!$C$3)^(KKF!A25)</f>
        <v>0.13003959011721541</v>
      </c>
      <c r="P25" s="316">
        <f t="shared" ca="1" si="7"/>
        <v>-6.3521756944403554E-2</v>
      </c>
      <c r="Q25" s="316">
        <f t="shared" ca="1" si="9"/>
        <v>-67.589181073876915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2592</v>
      </c>
      <c r="D26" s="316">
        <f t="shared" si="5"/>
        <v>432</v>
      </c>
      <c r="E26" s="316">
        <f t="shared" si="0"/>
        <v>2160</v>
      </c>
      <c r="F26" s="314"/>
      <c r="G26" s="318">
        <f ca="1">DATA!$D$11/1000000</f>
        <v>1.359864246528</v>
      </c>
      <c r="H26" s="318">
        <f>C26*DATA!$D$5/1000000</f>
        <v>2.8100521189380259</v>
      </c>
      <c r="I26" s="318">
        <f>(C26*DATA!$D$5*DATA!$D$7)/1000000</f>
        <v>6.3226172676105585E-2</v>
      </c>
      <c r="J26" s="316">
        <f t="shared" ca="1" si="1"/>
        <v>4.2331425381421317</v>
      </c>
      <c r="K26" s="314"/>
      <c r="L26" s="316">
        <f>((D26*DATA!$D$23)/1000000)+((E26*DATA!$D$24)/1000000)</f>
        <v>3.7446624000000002</v>
      </c>
      <c r="M26" s="316">
        <f t="shared" si="2"/>
        <v>3.7446624000000002</v>
      </c>
      <c r="N26" s="316">
        <f t="shared" ca="1" si="6"/>
        <v>-0.48848013814213154</v>
      </c>
      <c r="O26" s="315">
        <f>1/(1+'[93]Asumsi I'!$C$3)^(KKF!A26)</f>
        <v>0.1161067768903709</v>
      </c>
      <c r="P26" s="316">
        <f t="shared" ca="1" si="7"/>
        <v>-5.6715854414646022E-2</v>
      </c>
      <c r="Q26" s="316">
        <f t="shared" ca="1" si="9"/>
        <v>-67.645896928291563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2592</v>
      </c>
      <c r="D27" s="316">
        <f t="shared" si="5"/>
        <v>432</v>
      </c>
      <c r="E27" s="316">
        <f t="shared" si="0"/>
        <v>2160</v>
      </c>
      <c r="F27" s="314"/>
      <c r="G27" s="318">
        <f ca="1">DATA!$D$11/1000000</f>
        <v>1.359864246528</v>
      </c>
      <c r="H27" s="318">
        <f>C27*DATA!$D$5/1000000</f>
        <v>2.8100521189380259</v>
      </c>
      <c r="I27" s="318">
        <f>(C27*DATA!$D$5*DATA!$D$7)/1000000</f>
        <v>6.3226172676105585E-2</v>
      </c>
      <c r="J27" s="316">
        <f t="shared" ca="1" si="1"/>
        <v>4.2331425381421317</v>
      </c>
      <c r="K27" s="314"/>
      <c r="L27" s="316">
        <f>((D27*DATA!$D$23)/1000000)+((E27*DATA!$D$24)/1000000)</f>
        <v>3.7446624000000002</v>
      </c>
      <c r="M27" s="316">
        <f t="shared" si="2"/>
        <v>3.7446624000000002</v>
      </c>
      <c r="N27" s="316">
        <f t="shared" ca="1" si="6"/>
        <v>-0.48848013814213154</v>
      </c>
      <c r="O27" s="315">
        <f>1/(1+'[93]Asumsi I'!$C$3)^(KKF!A27)</f>
        <v>0.1036667650806883</v>
      </c>
      <c r="P27" s="316">
        <f t="shared" ca="1" si="7"/>
        <v>-5.0639155727362516E-2</v>
      </c>
      <c r="Q27" s="316">
        <f t="shared" ca="1" si="9"/>
        <v>-67.696536084018931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2592</v>
      </c>
      <c r="D28" s="316">
        <f t="shared" si="5"/>
        <v>432</v>
      </c>
      <c r="E28" s="316">
        <f t="shared" si="0"/>
        <v>2160</v>
      </c>
      <c r="F28" s="314"/>
      <c r="G28" s="318">
        <f ca="1">DATA!$D$11/1000000</f>
        <v>1.359864246528</v>
      </c>
      <c r="H28" s="318">
        <f>C28*DATA!$D$5/1000000</f>
        <v>2.8100521189380259</v>
      </c>
      <c r="I28" s="318">
        <f>(C28*DATA!$D$5*DATA!$D$7)/1000000</f>
        <v>6.3226172676105585E-2</v>
      </c>
      <c r="J28" s="316">
        <f t="shared" ca="1" si="1"/>
        <v>4.2331425381421317</v>
      </c>
      <c r="K28" s="314"/>
      <c r="L28" s="316">
        <f>((D28*DATA!$D$23)/1000000)+((E28*DATA!$D$24)/1000000)</f>
        <v>3.7446624000000002</v>
      </c>
      <c r="M28" s="316">
        <f t="shared" si="2"/>
        <v>3.7446624000000002</v>
      </c>
      <c r="N28" s="316">
        <f t="shared" ca="1" si="6"/>
        <v>-0.48848013814213154</v>
      </c>
      <c r="O28" s="315">
        <f>1/(1+'[93]Asumsi I'!$C$3)^(KKF!A28)</f>
        <v>9.2559611679185971E-2</v>
      </c>
      <c r="P28" s="316">
        <f t="shared" ca="1" si="7"/>
        <v>-4.5213531899430816E-2</v>
      </c>
      <c r="Q28" s="316">
        <f t="shared" ca="1" si="9"/>
        <v>-67.741749615918366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2592</v>
      </c>
      <c r="D29" s="316">
        <f t="shared" si="5"/>
        <v>432</v>
      </c>
      <c r="E29" s="316">
        <f t="shared" si="0"/>
        <v>2160</v>
      </c>
      <c r="F29" s="314"/>
      <c r="G29" s="318">
        <f ca="1">DATA!$D$11/1000000</f>
        <v>1.359864246528</v>
      </c>
      <c r="H29" s="318">
        <f>C29*DATA!$D$5/1000000</f>
        <v>2.8100521189380259</v>
      </c>
      <c r="I29" s="318">
        <f>(C29*DATA!$D$5*DATA!$D$7)/1000000</f>
        <v>6.3226172676105585E-2</v>
      </c>
      <c r="J29" s="316">
        <f t="shared" ca="1" si="1"/>
        <v>4.2331425381421317</v>
      </c>
      <c r="K29" s="314"/>
      <c r="L29" s="316">
        <f>((D29*DATA!$D$23)/1000000)+((E29*DATA!$D$24)/1000000)</f>
        <v>3.7446624000000002</v>
      </c>
      <c r="M29" s="316">
        <f t="shared" si="2"/>
        <v>3.7446624000000002</v>
      </c>
      <c r="N29" s="316">
        <f t="shared" ca="1" si="6"/>
        <v>-0.48848013814213154</v>
      </c>
      <c r="O29" s="315">
        <f>1/(1+'[93]Asumsi I'!$C$3)^(KKF!A29)</f>
        <v>8.2642510427844609E-2</v>
      </c>
      <c r="P29" s="316">
        <f t="shared" ca="1" si="7"/>
        <v>-4.0369224910206079E-2</v>
      </c>
      <c r="Q29" s="316">
        <f t="shared" ca="1" si="9"/>
        <v>-67.782118840828574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2592</v>
      </c>
      <c r="D30" s="316">
        <f t="shared" si="5"/>
        <v>432</v>
      </c>
      <c r="E30" s="316">
        <f t="shared" si="0"/>
        <v>2160</v>
      </c>
      <c r="F30" s="314"/>
      <c r="G30" s="318">
        <f ca="1">DATA!$D$11/1000000</f>
        <v>1.359864246528</v>
      </c>
      <c r="H30" s="318">
        <f>C30*DATA!$D$5/1000000</f>
        <v>2.8100521189380259</v>
      </c>
      <c r="I30" s="318">
        <f>(C30*DATA!$D$5*DATA!$D$7)/1000000</f>
        <v>6.3226172676105585E-2</v>
      </c>
      <c r="J30" s="316">
        <f t="shared" ca="1" si="1"/>
        <v>4.2331425381421317</v>
      </c>
      <c r="K30" s="314"/>
      <c r="L30" s="316">
        <f>((D30*DATA!$D$23)/1000000)+((E30*DATA!$D$24)/1000000)</f>
        <v>3.7446624000000002</v>
      </c>
      <c r="M30" s="316">
        <f t="shared" si="2"/>
        <v>3.7446624000000002</v>
      </c>
      <c r="N30" s="316">
        <f t="shared" ca="1" si="6"/>
        <v>-0.48848013814213154</v>
      </c>
      <c r="O30" s="315">
        <f>1/(1+'[93]Asumsi I'!$C$3)^(KKF!A30)</f>
        <v>7.3787955739146982E-2</v>
      </c>
      <c r="P30" s="316">
        <f t="shared" ca="1" si="7"/>
        <v>-3.6043950812684009E-2</v>
      </c>
      <c r="Q30" s="316">
        <f t="shared" ca="1" si="9"/>
        <v>-67.818162791641257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2592</v>
      </c>
      <c r="D31" s="316">
        <f t="shared" si="5"/>
        <v>432</v>
      </c>
      <c r="E31" s="316">
        <f t="shared" si="0"/>
        <v>2160</v>
      </c>
      <c r="F31" s="314"/>
      <c r="G31" s="318">
        <f ca="1">DATA!$D$11/1000000</f>
        <v>1.359864246528</v>
      </c>
      <c r="H31" s="318">
        <f>C31*DATA!$D$5/1000000</f>
        <v>2.8100521189380259</v>
      </c>
      <c r="I31" s="318">
        <f>(C31*DATA!$D$5*DATA!$D$7)/1000000</f>
        <v>6.3226172676105585E-2</v>
      </c>
      <c r="J31" s="316">
        <f t="shared" ca="1" si="1"/>
        <v>4.2331425381421317</v>
      </c>
      <c r="K31" s="314"/>
      <c r="L31" s="316">
        <f>((D31*DATA!$D$23)/1000000)+((E31*DATA!$D$24)/1000000)</f>
        <v>3.7446624000000002</v>
      </c>
      <c r="M31" s="316">
        <f t="shared" si="2"/>
        <v>3.7446624000000002</v>
      </c>
      <c r="N31" s="316">
        <f t="shared" ca="1" si="6"/>
        <v>-0.48848013814213154</v>
      </c>
      <c r="O31" s="315">
        <f>1/(1+'[93]Asumsi I'!$C$3)^(KKF!A31)</f>
        <v>6.5882103338524081E-2</v>
      </c>
      <c r="P31" s="316">
        <f t="shared" ca="1" si="7"/>
        <v>-3.2182098939896431E-2</v>
      </c>
      <c r="Q31" s="316">
        <f ca="1">Q30+P31</f>
        <v>-67.850344890581155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2592</v>
      </c>
      <c r="D32" s="316">
        <f t="shared" si="5"/>
        <v>432</v>
      </c>
      <c r="E32" s="316">
        <f t="shared" si="0"/>
        <v>2160</v>
      </c>
      <c r="F32" s="314"/>
      <c r="G32" s="318">
        <f ca="1">DATA!$D$11/1000000</f>
        <v>1.359864246528</v>
      </c>
      <c r="H32" s="318">
        <f>C32*DATA!$D$5/1000000</f>
        <v>2.8100521189380259</v>
      </c>
      <c r="I32" s="318">
        <f>(C32*DATA!$D$5*DATA!$D$7)/1000000</f>
        <v>6.3226172676105585E-2</v>
      </c>
      <c r="J32" s="316">
        <f t="shared" ca="1" si="1"/>
        <v>4.2331425381421317</v>
      </c>
      <c r="K32" s="314"/>
      <c r="L32" s="316">
        <f>((D32*DATA!$D$23)/1000000)+((E32*DATA!$D$24)/1000000)</f>
        <v>3.7446624000000002</v>
      </c>
      <c r="M32" s="316">
        <f t="shared" si="2"/>
        <v>3.7446624000000002</v>
      </c>
      <c r="N32" s="316">
        <f t="shared" ca="1" si="6"/>
        <v>-0.48848013814213154</v>
      </c>
      <c r="O32" s="315">
        <f>1/(1+'[93]Asumsi I'!$C$3)^(KKF!A32)</f>
        <v>5.8823306552253637E-2</v>
      </c>
      <c r="P32" s="316">
        <f t="shared" ca="1" si="7"/>
        <v>-2.8734016910621808E-2</v>
      </c>
      <c r="Q32" s="316">
        <f ca="1">Q31+P32</f>
        <v>-67.879078907491774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4" t="s">
        <v>1374</v>
      </c>
      <c r="G33" s="624"/>
      <c r="H33" s="624"/>
      <c r="I33" s="324"/>
      <c r="J33" s="325">
        <f ca="1">SUM(J7:J32)</f>
        <v>175.42107988411567</v>
      </c>
      <c r="K33" s="624" t="s">
        <v>1375</v>
      </c>
      <c r="L33" s="624"/>
      <c r="M33" s="325">
        <f>SUM(M7:M32)</f>
        <v>99.161215199999972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-142.46744339544344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0.56527536636706677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-60.606320453117647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43"/>
  <sheetViews>
    <sheetView showGridLines="0" zoomScale="70" zoomScaleNormal="70" zoomScaleSheetLayoutView="70" workbookViewId="0">
      <pane ySplit="13" topLeftCell="A107" activePane="bottomLeft" state="frozen"/>
      <selection activeCell="H1093" sqref="H1093"/>
      <selection pane="bottomLeft" activeCell="Q133" sqref="Q13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7" t="s">
        <v>1036</v>
      </c>
      <c r="P3" s="627"/>
      <c r="Q3" s="346"/>
      <c r="T3" s="344"/>
      <c r="U3" s="345" t="s">
        <v>1041</v>
      </c>
      <c r="V3" s="344"/>
    </row>
    <row r="4" spans="1:22" ht="15.75" customHeight="1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4" t="str">
        <f>DATA!D14</f>
        <v xml:space="preserve">MASY. DESA BALEROMO </v>
      </c>
      <c r="H6" s="644"/>
      <c r="I6" s="644"/>
      <c r="J6" s="644"/>
      <c r="K6" s="64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0" t="s">
        <v>0</v>
      </c>
      <c r="C11" s="632" t="s">
        <v>1</v>
      </c>
      <c r="D11" s="635" t="s">
        <v>42</v>
      </c>
      <c r="E11" s="635" t="s">
        <v>43</v>
      </c>
      <c r="F11" s="635" t="s">
        <v>2</v>
      </c>
      <c r="G11" s="637" t="s">
        <v>41</v>
      </c>
      <c r="H11" s="635" t="s">
        <v>3</v>
      </c>
      <c r="I11" s="635"/>
      <c r="J11" s="635"/>
      <c r="K11" s="65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1"/>
      <c r="C12" s="633"/>
      <c r="D12" s="636"/>
      <c r="E12" s="636"/>
      <c r="F12" s="636"/>
      <c r="G12" s="638"/>
      <c r="H12" s="640" t="s">
        <v>46</v>
      </c>
      <c r="I12" s="640" t="s">
        <v>5</v>
      </c>
      <c r="J12" s="636" t="s">
        <v>47</v>
      </c>
      <c r="K12" s="65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1"/>
      <c r="C13" s="634"/>
      <c r="D13" s="636"/>
      <c r="E13" s="636"/>
      <c r="F13" s="636"/>
      <c r="G13" s="639"/>
      <c r="H13" s="641"/>
      <c r="I13" s="641"/>
      <c r="J13" s="636"/>
      <c r="K13" s="65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18" ca="1" si="8">IF(OR(D17="MDU",D17="MDU-KD"),(IF($O$3="RAB NON MDU","PLN KD",G17*F17)),0)</f>
        <v>0</v>
      </c>
      <c r="I17" s="361">
        <f t="shared" ref="I17:I18" ca="1" si="9">IF(D17="HDW",G17*F17,0)</f>
        <v>17400000</v>
      </c>
      <c r="J17" s="361">
        <f t="shared" ref="J17:J18" ca="1" si="10">IF(D17="JASA",G17*F17,0)</f>
        <v>0</v>
      </c>
      <c r="K17" s="362">
        <f t="shared" ref="K17:K18" ca="1" si="11">SUM(H17:J17)</f>
        <v>17400000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30200.000000000004</v>
      </c>
      <c r="K18" s="362">
        <f t="shared" ca="1" si="11"/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2">IF(OR(D19="MDU",D19="MDU-KD"),(IF($O$3="RAB NON MDU","PLN KD",G19*F19)),0)</f>
        <v>0</v>
      </c>
      <c r="I19" s="361">
        <f t="shared" ref="I19:I21" ca="1" si="13">IF(D19="HDW",G19*F19,0)</f>
        <v>200000</v>
      </c>
      <c r="J19" s="361">
        <f t="shared" ref="J19:J21" ca="1" si="14">IF(D19="JASA",G19*F19,0)</f>
        <v>0</v>
      </c>
      <c r="K19" s="362">
        <f t="shared" ref="K19:K21" ca="1" si="15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1616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6">IF(OR(D22="MDU",D22="MDU-KD"),(IF($O$3="RAB NON MDU","PLN KD",G22*F22)),0)</f>
        <v>0</v>
      </c>
      <c r="I22" s="361">
        <f t="shared" ref="I22:I36" ca="1" si="17">IF(D22="HDW",G22*F22,0)</f>
        <v>0</v>
      </c>
      <c r="J22" s="361">
        <f t="shared" ref="J22:J36" ca="1" si="18">IF(D22="JASA",G22*F22,0)</f>
        <v>0</v>
      </c>
      <c r="K22" s="362">
        <f t="shared" ref="K22:K36" ca="1" si="19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4" t="s">
        <v>1035</v>
      </c>
      <c r="C23" s="525" t="s">
        <v>1629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4">
        <v>1</v>
      </c>
      <c r="C24" s="525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1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16"/>
        <v>0</v>
      </c>
      <c r="I24" s="361">
        <f t="shared" ca="1" si="17"/>
        <v>4212</v>
      </c>
      <c r="J24" s="361">
        <f t="shared" ca="1" si="18"/>
        <v>0</v>
      </c>
      <c r="K24" s="362">
        <f t="shared" ca="1" si="19"/>
        <v>4212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4">
        <v>2</v>
      </c>
      <c r="C25" s="525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F23*1</f>
        <v>1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16"/>
        <v>0</v>
      </c>
      <c r="I25" s="361">
        <f t="shared" ca="1" si="17"/>
        <v>23310</v>
      </c>
      <c r="J25" s="361">
        <f t="shared" ca="1" si="18"/>
        <v>0</v>
      </c>
      <c r="K25" s="362">
        <f t="shared" ca="1" si="19"/>
        <v>23310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4">
        <v>3</v>
      </c>
      <c r="C26" s="525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F23*1</f>
        <v>1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16"/>
        <v>0</v>
      </c>
      <c r="I26" s="361">
        <f t="shared" ca="1" si="17"/>
        <v>2300</v>
      </c>
      <c r="J26" s="361">
        <f t="shared" ca="1" si="18"/>
        <v>0</v>
      </c>
      <c r="K26" s="362">
        <f t="shared" ca="1" si="19"/>
        <v>2300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4">
        <v>4</v>
      </c>
      <c r="C27" s="525" t="s">
        <v>609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1</v>
      </c>
      <c r="G27" s="360">
        <f ca="1">IF(ISERROR(OFFSET('HARGA SATUAN'!$I$6,MATCH(RAB!C27,'HARGA SATUAN'!$C$7:$C$1492,0),0)),0,OFFSET('HARGA SATUAN'!$I$6,MATCH(RAB!C27,'HARGA SATUAN'!$C$7:$C$1492,0),0))</f>
        <v>71000</v>
      </c>
      <c r="H27" s="361">
        <f t="shared" ca="1" si="16"/>
        <v>0</v>
      </c>
      <c r="I27" s="361">
        <f t="shared" ca="1" si="17"/>
        <v>71000</v>
      </c>
      <c r="J27" s="361">
        <f t="shared" ca="1" si="18"/>
        <v>0</v>
      </c>
      <c r="K27" s="362">
        <f t="shared" ca="1" si="19"/>
        <v>71000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4">
        <v>5</v>
      </c>
      <c r="C28" s="525" t="s">
        <v>629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1</v>
      </c>
      <c r="G28" s="360">
        <f ca="1">IF(ISERROR(OFFSET('HARGA SATUAN'!$I$6,MATCH(RAB!C28,'HARGA SATUAN'!$C$7:$C$1492,0),0)),0,OFFSET('HARGA SATUAN'!$I$6,MATCH(RAB!C28,'HARGA SATUAN'!$C$7:$C$1492,0),0))</f>
        <v>29400</v>
      </c>
      <c r="H28" s="361">
        <f t="shared" ca="1" si="16"/>
        <v>0</v>
      </c>
      <c r="I28" s="361">
        <f t="shared" ca="1" si="17"/>
        <v>0</v>
      </c>
      <c r="J28" s="361">
        <f t="shared" ca="1" si="18"/>
        <v>29400</v>
      </c>
      <c r="K28" s="362">
        <f t="shared" ca="1" si="19"/>
        <v>29400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4"/>
      <c r="C29" s="525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6"/>
        <v>0</v>
      </c>
      <c r="I29" s="361">
        <f t="shared" ca="1" si="17"/>
        <v>0</v>
      </c>
      <c r="J29" s="361">
        <f t="shared" ca="1" si="18"/>
        <v>0</v>
      </c>
      <c r="K29" s="362">
        <f t="shared" ca="1" si="19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4" t="s">
        <v>1035</v>
      </c>
      <c r="C30" s="525" t="s">
        <v>1617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4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6"/>
        <v>0</v>
      </c>
      <c r="I30" s="361">
        <f t="shared" ca="1" si="17"/>
        <v>0</v>
      </c>
      <c r="J30" s="361">
        <f t="shared" ca="1" si="18"/>
        <v>0</v>
      </c>
      <c r="K30" s="362">
        <f t="shared" ca="1" si="19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4">
        <v>1</v>
      </c>
      <c r="C31" s="525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4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16"/>
        <v>0</v>
      </c>
      <c r="I31" s="361">
        <f t="shared" ca="1" si="17"/>
        <v>314000</v>
      </c>
      <c r="J31" s="361">
        <f t="shared" ca="1" si="18"/>
        <v>0</v>
      </c>
      <c r="K31" s="362">
        <f t="shared" ca="1" si="19"/>
        <v>314000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4">
        <v>2</v>
      </c>
      <c r="C32" s="525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4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16"/>
        <v>0</v>
      </c>
      <c r="I32" s="361">
        <f t="shared" ca="1" si="17"/>
        <v>16848</v>
      </c>
      <c r="J32" s="361">
        <f t="shared" ca="1" si="18"/>
        <v>0</v>
      </c>
      <c r="K32" s="362">
        <f t="shared" ca="1" si="19"/>
        <v>16848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24">
        <v>3</v>
      </c>
      <c r="C33" s="525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4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16"/>
        <v>0</v>
      </c>
      <c r="I33" s="361">
        <f t="shared" ca="1" si="17"/>
        <v>93240</v>
      </c>
      <c r="J33" s="361">
        <f t="shared" ca="1" si="18"/>
        <v>0</v>
      </c>
      <c r="K33" s="362">
        <f t="shared" ca="1" si="19"/>
        <v>93240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24">
        <v>4</v>
      </c>
      <c r="C34" s="525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4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16"/>
        <v>0</v>
      </c>
      <c r="I34" s="361">
        <f t="shared" ca="1" si="17"/>
        <v>9200</v>
      </c>
      <c r="J34" s="361">
        <f t="shared" ca="1" si="18"/>
        <v>0</v>
      </c>
      <c r="K34" s="362">
        <f t="shared" ca="1" si="19"/>
        <v>9200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24">
        <v>5</v>
      </c>
      <c r="C35" s="525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4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16"/>
        <v>0</v>
      </c>
      <c r="I35" s="361">
        <f t="shared" ca="1" si="17"/>
        <v>0</v>
      </c>
      <c r="J35" s="361">
        <f t="shared" ca="1" si="18"/>
        <v>142800</v>
      </c>
      <c r="K35" s="362">
        <f t="shared" ca="1" si="19"/>
        <v>142800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24"/>
      <c r="C36" s="525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16"/>
        <v>0</v>
      </c>
      <c r="I36" s="361">
        <f t="shared" ca="1" si="17"/>
        <v>0</v>
      </c>
      <c r="J36" s="361">
        <f t="shared" ca="1" si="18"/>
        <v>0</v>
      </c>
      <c r="K36" s="362">
        <f t="shared" ca="1" si="19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20" t="s">
        <v>1035</v>
      </c>
      <c r="C37" s="521" t="s">
        <v>1618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9" ca="1" si="20">IF(OR(D37="MDU",D37="MDU-KD"),(IF($O$3="RAB NON MDU","PLN KD",G37*F37)),0)</f>
        <v>0</v>
      </c>
      <c r="I37" s="361">
        <f t="shared" ref="I37:I39" ca="1" si="21">IF(D37="HDW",G37*F37,0)</f>
        <v>0</v>
      </c>
      <c r="J37" s="361">
        <f t="shared" ref="J37:J39" ca="1" si="22">IF(D37="JASA",G37*F37,0)</f>
        <v>0</v>
      </c>
      <c r="K37" s="362">
        <f t="shared" ref="K37:K39" ca="1" si="23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20">
        <v>1</v>
      </c>
      <c r="C38" s="521" t="s">
        <v>598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1</v>
      </c>
      <c r="G38" s="360">
        <f ca="1">IF(ISERROR(OFFSET('HARGA SATUAN'!$I$6,MATCH(RAB!C38,'HARGA SATUAN'!$C$7:$C$1492,0),0)),0,OFFSET('HARGA SATUAN'!$I$6,MATCH(RAB!C38,'HARGA SATUAN'!$C$7:$C$1492,0),0))</f>
        <v>3965</v>
      </c>
      <c r="H38" s="361">
        <f t="shared" ca="1" si="20"/>
        <v>0</v>
      </c>
      <c r="I38" s="361">
        <f t="shared" ca="1" si="21"/>
        <v>3965</v>
      </c>
      <c r="J38" s="361">
        <f t="shared" ca="1" si="22"/>
        <v>0</v>
      </c>
      <c r="K38" s="362">
        <f t="shared" ca="1" si="23"/>
        <v>3965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20">
        <v>2</v>
      </c>
      <c r="C39" s="521" t="s">
        <v>474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F37*1</f>
        <v>1</v>
      </c>
      <c r="G39" s="360">
        <f ca="1">IF(ISERROR(OFFSET('HARGA SATUAN'!$I$6,MATCH(RAB!C39,'HARGA SATUAN'!$C$7:$C$1492,0),0)),0,OFFSET('HARGA SATUAN'!$I$6,MATCH(RAB!C39,'HARGA SATUAN'!$C$7:$C$1492,0),0))</f>
        <v>3711.24</v>
      </c>
      <c r="H39" s="361">
        <f t="shared" ca="1" si="20"/>
        <v>0</v>
      </c>
      <c r="I39" s="361">
        <f t="shared" ca="1" si="21"/>
        <v>3711.24</v>
      </c>
      <c r="J39" s="361">
        <f t="shared" ca="1" si="22"/>
        <v>0</v>
      </c>
      <c r="K39" s="362">
        <f t="shared" ca="1" si="23"/>
        <v>3711.24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20">
        <v>3</v>
      </c>
      <c r="C40" s="521" t="s">
        <v>266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1">
        <f>F37*1</f>
        <v>1</v>
      </c>
      <c r="G40" s="360">
        <f ca="1">IF(ISERROR(OFFSET('HARGA SATUAN'!$I$6,MATCH(RAB!C40,'HARGA SATUAN'!$C$7:$C$1492,0),0)),0,OFFSET('HARGA SATUAN'!$I$6,MATCH(RAB!C40,'HARGA SATUAN'!$C$7:$C$1492,0),0))</f>
        <v>23310</v>
      </c>
      <c r="H40" s="361">
        <f t="shared" ref="H40:H44" ca="1" si="24">IF(OR(D40="MDU",D40="MDU-KD"),(IF($O$3="RAB NON MDU","PLN KD",G40*F40)),0)</f>
        <v>0</v>
      </c>
      <c r="I40" s="361">
        <f t="shared" ref="I40:I44" ca="1" si="25">IF(D40="HDW",G40*F40,0)</f>
        <v>23310</v>
      </c>
      <c r="J40" s="361">
        <f t="shared" ref="J40:J44" ca="1" si="26">IF(D40="JASA",G40*F40,0)</f>
        <v>0</v>
      </c>
      <c r="K40" s="362">
        <f t="shared" ref="K40:K44" ca="1" si="27">SUM(H40:J40)</f>
        <v>23310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20">
        <v>4</v>
      </c>
      <c r="C41" s="521" t="s">
        <v>35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F37*1</f>
        <v>1</v>
      </c>
      <c r="G41" s="360">
        <f ca="1">IF(ISERROR(OFFSET('HARGA SATUAN'!$I$6,MATCH(RAB!C41,'HARGA SATUAN'!$C$7:$C$1492,0),0)),0,OFFSET('HARGA SATUAN'!$I$6,MATCH(RAB!C41,'HARGA SATUAN'!$C$7:$C$1492,0),0))</f>
        <v>2300</v>
      </c>
      <c r="H41" s="361">
        <f t="shared" ca="1" si="24"/>
        <v>0</v>
      </c>
      <c r="I41" s="361">
        <f t="shared" ca="1" si="25"/>
        <v>2300</v>
      </c>
      <c r="J41" s="361">
        <f t="shared" ca="1" si="26"/>
        <v>0</v>
      </c>
      <c r="K41" s="362">
        <f t="shared" ca="1" si="27"/>
        <v>2300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20">
        <v>5</v>
      </c>
      <c r="C42" s="521" t="s">
        <v>632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f>F37*1</f>
        <v>1</v>
      </c>
      <c r="G42" s="360">
        <f ca="1">IF(ISERROR(OFFSET('HARGA SATUAN'!$I$6,MATCH(RAB!C42,'HARGA SATUAN'!$C$7:$C$1492,0),0)),0,OFFSET('HARGA SATUAN'!$I$6,MATCH(RAB!C42,'HARGA SATUAN'!$C$7:$C$1492,0),0))</f>
        <v>22700</v>
      </c>
      <c r="H42" s="361">
        <f t="shared" ca="1" si="24"/>
        <v>0</v>
      </c>
      <c r="I42" s="361">
        <f t="shared" ca="1" si="25"/>
        <v>0</v>
      </c>
      <c r="J42" s="361">
        <f t="shared" ca="1" si="26"/>
        <v>22700</v>
      </c>
      <c r="K42" s="362">
        <f t="shared" ca="1" si="27"/>
        <v>22700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499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4"/>
        <v>0</v>
      </c>
      <c r="I43" s="361">
        <f t="shared" ca="1" si="25"/>
        <v>0</v>
      </c>
      <c r="J43" s="361">
        <f t="shared" ca="1" si="26"/>
        <v>0</v>
      </c>
      <c r="K43" s="362">
        <f t="shared" ca="1" si="27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/>
      <c r="C44" s="519" t="s">
        <v>1623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1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4"/>
        <v>0</v>
      </c>
      <c r="I44" s="361">
        <f t="shared" ca="1" si="25"/>
        <v>0</v>
      </c>
      <c r="J44" s="361">
        <f t="shared" ca="1" si="26"/>
        <v>0</v>
      </c>
      <c r="K44" s="362">
        <f t="shared" ca="1" si="27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1</v>
      </c>
      <c r="C45" s="109" t="s">
        <v>1402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v>160</v>
      </c>
      <c r="G45" s="360">
        <f ca="1">IF(ISERROR(OFFSET('HARGA SATUAN'!$I$6,MATCH(RAB!C45,'HARGA SATUAN'!$C$7:$C$1492,0),0)),0,OFFSET('HARGA SATUAN'!$I$6,MATCH(RAB!C45,'HARGA SATUAN'!$C$7:$C$1492,0),0))</f>
        <v>53300</v>
      </c>
      <c r="H45" s="361">
        <f t="shared" ref="H45:H47" ca="1" si="28">IF(OR(D45="MDU",D45="MDU-KD"),(IF($O$3="RAB NON MDU","PLN KD",G45*F45)),0)</f>
        <v>8528000</v>
      </c>
      <c r="I45" s="361">
        <f t="shared" ref="I45:I47" ca="1" si="29">IF(D45="HDW",G45*F45,0)</f>
        <v>0</v>
      </c>
      <c r="J45" s="361">
        <f t="shared" ref="J45:J47" ca="1" si="30">IF(D45="JASA",G45*F45,0)</f>
        <v>0</v>
      </c>
      <c r="K45" s="362">
        <f t="shared" ref="K45:K47" ca="1" si="31">SUM(H45:J45)</f>
        <v>8528000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>
        <v>2</v>
      </c>
      <c r="C46" s="109" t="s">
        <v>347</v>
      </c>
      <c r="D46" s="513" t="s">
        <v>47</v>
      </c>
      <c r="E46" s="514" t="s">
        <v>297</v>
      </c>
      <c r="F46" s="514">
        <f>F45/50</f>
        <v>3.2</v>
      </c>
      <c r="G46" s="515">
        <v>85000</v>
      </c>
      <c r="H46" s="361">
        <f t="shared" si="28"/>
        <v>0</v>
      </c>
      <c r="I46" s="361">
        <f t="shared" si="29"/>
        <v>0</v>
      </c>
      <c r="J46" s="361">
        <f t="shared" si="30"/>
        <v>272000</v>
      </c>
      <c r="K46" s="362">
        <f t="shared" si="31"/>
        <v>272000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499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8"/>
        <v>0</v>
      </c>
      <c r="I47" s="361">
        <f t="shared" ca="1" si="29"/>
        <v>0</v>
      </c>
      <c r="J47" s="361">
        <f t="shared" ca="1" si="30"/>
        <v>0</v>
      </c>
      <c r="K47" s="362">
        <f t="shared" ca="1" si="31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498"/>
      <c r="C48" s="519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70" ca="1" si="32">IF(OR(D48="MDU",D48="MDU-KD"),(IF($O$3="RAB NON MDU","PLN KD",G48*F48)),0)</f>
        <v>0</v>
      </c>
      <c r="I48" s="361">
        <f t="shared" ref="I48:I70" ca="1" si="33">IF(D48="HDW",G48*F48,0)</f>
        <v>0</v>
      </c>
      <c r="J48" s="361">
        <f t="shared" ref="J48:J70" ca="1" si="34">IF(D48="JASA",G48*F48,0)</f>
        <v>0</v>
      </c>
      <c r="K48" s="362">
        <f t="shared" ref="K48:K70" ca="1" si="35">SUM(H48:J48)</f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1" t="s">
        <v>1035</v>
      </c>
      <c r="C49" s="512" t="s">
        <v>1619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2"/>
        <v>0</v>
      </c>
      <c r="I49" s="361">
        <f t="shared" ca="1" si="33"/>
        <v>0</v>
      </c>
      <c r="J49" s="361">
        <f t="shared" ca="1" si="34"/>
        <v>0</v>
      </c>
      <c r="K49" s="362">
        <f t="shared" ca="1" si="35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1">
        <v>1</v>
      </c>
      <c r="C50" s="512" t="s">
        <v>28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F49*1</f>
        <v>1</v>
      </c>
      <c r="G50" s="360">
        <f ca="1">IF(ISERROR(OFFSET('HARGA SATUAN'!$I$6,MATCH(RAB!C50,'HARGA SATUAN'!$C$7:$C$1492,0),0)),0,OFFSET('HARGA SATUAN'!$I$6,MATCH(RAB!C50,'HARGA SATUAN'!$C$7:$C$1492,0),0))</f>
        <v>26500</v>
      </c>
      <c r="H50" s="361">
        <f t="shared" ca="1" si="32"/>
        <v>0</v>
      </c>
      <c r="I50" s="361">
        <f t="shared" ca="1" si="33"/>
        <v>26500</v>
      </c>
      <c r="J50" s="361">
        <f t="shared" ca="1" si="34"/>
        <v>0</v>
      </c>
      <c r="K50" s="362">
        <f t="shared" ca="1" si="35"/>
        <v>26500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1">
        <v>2</v>
      </c>
      <c r="C51" s="512" t="s">
        <v>203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F49*1</f>
        <v>1</v>
      </c>
      <c r="G51" s="360">
        <f ca="1">IF(ISERROR(OFFSET('HARGA SATUAN'!$I$6,MATCH(RAB!C51,'HARGA SATUAN'!$C$7:$C$1492,0),0)),0,OFFSET('HARGA SATUAN'!$I$6,MATCH(RAB!C51,'HARGA SATUAN'!$C$7:$C$1492,0),0))</f>
        <v>12500</v>
      </c>
      <c r="H51" s="361">
        <f t="shared" ca="1" si="32"/>
        <v>0</v>
      </c>
      <c r="I51" s="361">
        <f t="shared" ca="1" si="33"/>
        <v>12500</v>
      </c>
      <c r="J51" s="361">
        <f t="shared" ca="1" si="34"/>
        <v>0</v>
      </c>
      <c r="K51" s="362">
        <f t="shared" ca="1" si="35"/>
        <v>12500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1">
        <v>3</v>
      </c>
      <c r="C52" s="512" t="s">
        <v>206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1">
        <f>F49*12</f>
        <v>12</v>
      </c>
      <c r="G52" s="360">
        <f ca="1">IF(ISERROR(OFFSET('HARGA SATUAN'!$I$6,MATCH(RAB!C52,'HARGA SATUAN'!$C$7:$C$1492,0),0)),0,OFFSET('HARGA SATUAN'!$I$6,MATCH(RAB!C52,'HARGA SATUAN'!$C$7:$C$1492,0),0))</f>
        <v>39204</v>
      </c>
      <c r="H52" s="361">
        <f t="shared" ca="1" si="32"/>
        <v>0</v>
      </c>
      <c r="I52" s="361">
        <f t="shared" ca="1" si="33"/>
        <v>470448</v>
      </c>
      <c r="J52" s="361">
        <f t="shared" ca="1" si="34"/>
        <v>0</v>
      </c>
      <c r="K52" s="362">
        <f t="shared" ca="1" si="35"/>
        <v>470448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1">
        <v>4</v>
      </c>
      <c r="C53" s="512" t="s">
        <v>287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F49*2</f>
        <v>2</v>
      </c>
      <c r="G53" s="360">
        <f ca="1">IF(ISERROR(OFFSET('HARGA SATUAN'!$I$6,MATCH(RAB!C53,'HARGA SATUAN'!$C$7:$C$1492,0),0)),0,OFFSET('HARGA SATUAN'!$I$6,MATCH(RAB!C53,'HARGA SATUAN'!$C$7:$C$1492,0),0))</f>
        <v>40000</v>
      </c>
      <c r="H53" s="361">
        <f t="shared" ca="1" si="32"/>
        <v>0</v>
      </c>
      <c r="I53" s="361">
        <f t="shared" ca="1" si="33"/>
        <v>80000</v>
      </c>
      <c r="J53" s="361">
        <f t="shared" ca="1" si="34"/>
        <v>0</v>
      </c>
      <c r="K53" s="362">
        <f t="shared" ca="1" si="35"/>
        <v>80000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1">
        <v>5</v>
      </c>
      <c r="C54" s="512" t="s">
        <v>26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F49*1</f>
        <v>1</v>
      </c>
      <c r="G54" s="360">
        <f ca="1">IF(ISERROR(OFFSET('HARGA SATUAN'!$I$6,MATCH(RAB!C54,'HARGA SATUAN'!$C$7:$C$1492,0),0)),0,OFFSET('HARGA SATUAN'!$I$6,MATCH(RAB!C54,'HARGA SATUAN'!$C$7:$C$1492,0),0))</f>
        <v>2500</v>
      </c>
      <c r="H54" s="361">
        <f t="shared" ca="1" si="32"/>
        <v>0</v>
      </c>
      <c r="I54" s="361">
        <f t="shared" ca="1" si="33"/>
        <v>2500</v>
      </c>
      <c r="J54" s="361">
        <f t="shared" ca="1" si="34"/>
        <v>0</v>
      </c>
      <c r="K54" s="362">
        <f t="shared" ca="1" si="35"/>
        <v>2500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1">
        <v>6</v>
      </c>
      <c r="C55" s="512" t="s">
        <v>760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f>F49*1</f>
        <v>1</v>
      </c>
      <c r="G55" s="360">
        <f ca="1">IF(ISERROR(OFFSET('HARGA SATUAN'!$I$6,MATCH(RAB!C55,'HARGA SATUAN'!$C$7:$C$1492,0),0)),0,OFFSET('HARGA SATUAN'!$I$6,MATCH(RAB!C55,'HARGA SATUAN'!$C$7:$C$1492,0),0))</f>
        <v>36600</v>
      </c>
      <c r="H55" s="361">
        <f t="shared" ca="1" si="32"/>
        <v>0</v>
      </c>
      <c r="I55" s="361">
        <f t="shared" ca="1" si="33"/>
        <v>0</v>
      </c>
      <c r="J55" s="361">
        <f t="shared" ca="1" si="34"/>
        <v>36600</v>
      </c>
      <c r="K55" s="362">
        <f t="shared" ca="1" si="35"/>
        <v>36600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8"/>
      <c r="C56" s="499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2"/>
        <v>0</v>
      </c>
      <c r="I56" s="361">
        <f t="shared" ca="1" si="33"/>
        <v>0</v>
      </c>
      <c r="J56" s="361">
        <f t="shared" ca="1" si="34"/>
        <v>0</v>
      </c>
      <c r="K56" s="362">
        <f t="shared" ca="1" si="35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 t="s">
        <v>1035</v>
      </c>
      <c r="C57" s="512" t="s">
        <v>1620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1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2"/>
        <v>0</v>
      </c>
      <c r="I57" s="361">
        <f t="shared" ca="1" si="33"/>
        <v>0</v>
      </c>
      <c r="J57" s="361">
        <f t="shared" ca="1" si="34"/>
        <v>0</v>
      </c>
      <c r="K57" s="362">
        <f t="shared" ca="1" si="35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6">
        <v>1</v>
      </c>
      <c r="C58" s="517" t="s">
        <v>597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F57*1</f>
        <v>1</v>
      </c>
      <c r="G58" s="360">
        <f ca="1">IF(ISERROR(OFFSET('HARGA SATUAN'!$I$6,MATCH(RAB!C58,'HARGA SATUAN'!$C$7:$C$1492,0),0)),0,OFFSET('HARGA SATUAN'!$I$6,MATCH(RAB!C58,'HARGA SATUAN'!$C$7:$C$1492,0),0))</f>
        <v>120900</v>
      </c>
      <c r="H58" s="361">
        <f t="shared" ca="1" si="32"/>
        <v>0</v>
      </c>
      <c r="I58" s="361">
        <f t="shared" ca="1" si="33"/>
        <v>120900</v>
      </c>
      <c r="J58" s="361">
        <f t="shared" ca="1" si="34"/>
        <v>0</v>
      </c>
      <c r="K58" s="362">
        <f t="shared" ca="1" si="35"/>
        <v>120900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3">
        <v>2</v>
      </c>
      <c r="C59" s="504" t="s">
        <v>261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F57*1</f>
        <v>1</v>
      </c>
      <c r="G59" s="360">
        <f ca="1">IF(ISERROR(OFFSET('HARGA SATUAN'!$I$6,MATCH(RAB!C59,'HARGA SATUAN'!$C$7:$C$1492,0),0)),0,OFFSET('HARGA SATUAN'!$I$6,MATCH(RAB!C59,'HARGA SATUAN'!$C$7:$C$1492,0),0))</f>
        <v>135800</v>
      </c>
      <c r="H59" s="361">
        <f t="shared" ca="1" si="32"/>
        <v>0</v>
      </c>
      <c r="I59" s="361">
        <f t="shared" ca="1" si="33"/>
        <v>135800</v>
      </c>
      <c r="J59" s="361">
        <f t="shared" ca="1" si="34"/>
        <v>0</v>
      </c>
      <c r="K59" s="362">
        <f t="shared" ca="1" si="35"/>
        <v>135800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3">
        <v>3</v>
      </c>
      <c r="C60" s="505" t="s">
        <v>214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8">
        <f>F57*1</f>
        <v>1</v>
      </c>
      <c r="G60" s="360">
        <f ca="1">IF(ISERROR(OFFSET('HARGA SATUAN'!$I$6,MATCH(RAB!C60,'HARGA SATUAN'!$C$7:$C$1492,0),0)),0,OFFSET('HARGA SATUAN'!$I$6,MATCH(RAB!C60,'HARGA SATUAN'!$C$7:$C$1492,0),0))</f>
        <v>4500</v>
      </c>
      <c r="H60" s="361">
        <f t="shared" ca="1" si="32"/>
        <v>0</v>
      </c>
      <c r="I60" s="361">
        <f t="shared" ca="1" si="33"/>
        <v>4500</v>
      </c>
      <c r="J60" s="361">
        <f t="shared" ca="1" si="34"/>
        <v>0</v>
      </c>
      <c r="K60" s="362">
        <f t="shared" ca="1" si="35"/>
        <v>4500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1">
        <v>4</v>
      </c>
      <c r="C61" s="512" t="s">
        <v>768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f>F57*1</f>
        <v>1</v>
      </c>
      <c r="G61" s="360">
        <f ca="1">IF(ISERROR(OFFSET('HARGA SATUAN'!$I$6,MATCH(RAB!C61,'HARGA SATUAN'!$C$7:$C$1492,0),0)),0,OFFSET('HARGA SATUAN'!$I$6,MATCH(RAB!C61,'HARGA SATUAN'!$C$7:$C$1492,0),0))</f>
        <v>55500</v>
      </c>
      <c r="H61" s="361">
        <f t="shared" ca="1" si="32"/>
        <v>0</v>
      </c>
      <c r="I61" s="361">
        <f t="shared" ca="1" si="33"/>
        <v>0</v>
      </c>
      <c r="J61" s="361">
        <f t="shared" ca="1" si="34"/>
        <v>55500</v>
      </c>
      <c r="K61" s="362">
        <f t="shared" ca="1" si="35"/>
        <v>55500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1"/>
      <c r="C62" s="512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2"/>
        <v>0</v>
      </c>
      <c r="I62" s="361">
        <f t="shared" ca="1" si="33"/>
        <v>0</v>
      </c>
      <c r="J62" s="361">
        <f t="shared" ca="1" si="34"/>
        <v>0</v>
      </c>
      <c r="K62" s="362">
        <f t="shared" ca="1" si="35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1" t="s">
        <v>1035</v>
      </c>
      <c r="C63" s="512" t="s">
        <v>1621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2"/>
        <v>0</v>
      </c>
      <c r="I63" s="361">
        <f t="shared" ca="1" si="33"/>
        <v>0</v>
      </c>
      <c r="J63" s="361">
        <f t="shared" ca="1" si="34"/>
        <v>0</v>
      </c>
      <c r="K63" s="362">
        <f t="shared" ca="1" si="35"/>
        <v>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1">
        <v>1</v>
      </c>
      <c r="C64" s="512" t="s">
        <v>30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F63*1</f>
        <v>1</v>
      </c>
      <c r="G64" s="360">
        <f ca="1">IF(ISERROR(OFFSET('HARGA SATUAN'!$I$6,MATCH(RAB!C64,'HARGA SATUAN'!$C$7:$C$1492,0),0)),0,OFFSET('HARGA SATUAN'!$I$6,MATCH(RAB!C64,'HARGA SATUAN'!$C$7:$C$1492,0),0))</f>
        <v>47459</v>
      </c>
      <c r="H64" s="361">
        <f t="shared" ca="1" si="32"/>
        <v>0</v>
      </c>
      <c r="I64" s="361">
        <f t="shared" ca="1" si="33"/>
        <v>47459</v>
      </c>
      <c r="J64" s="361">
        <f t="shared" ca="1" si="34"/>
        <v>0</v>
      </c>
      <c r="K64" s="362">
        <f t="shared" ca="1" si="35"/>
        <v>47459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1">
        <v>2</v>
      </c>
      <c r="C65" s="512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501">
        <f>F63*1</f>
        <v>1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32"/>
        <v>0</v>
      </c>
      <c r="I65" s="361">
        <f t="shared" ca="1" si="33"/>
        <v>30000</v>
      </c>
      <c r="J65" s="361">
        <f t="shared" ca="1" si="34"/>
        <v>0</v>
      </c>
      <c r="K65" s="362">
        <f t="shared" ca="1" si="35"/>
        <v>30000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1">
        <v>3</v>
      </c>
      <c r="C66" s="512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F63*1</f>
        <v>1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32"/>
        <v>0</v>
      </c>
      <c r="I66" s="361">
        <f t="shared" ca="1" si="33"/>
        <v>9500</v>
      </c>
      <c r="J66" s="361">
        <f t="shared" ca="1" si="34"/>
        <v>0</v>
      </c>
      <c r="K66" s="362">
        <f t="shared" ca="1" si="35"/>
        <v>9500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1">
        <v>4</v>
      </c>
      <c r="C67" s="512" t="s">
        <v>738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01">
        <f>F63*1</f>
        <v>1</v>
      </c>
      <c r="G67" s="360">
        <f ca="1">IF(ISERROR(OFFSET('HARGA SATUAN'!$I$6,MATCH(RAB!C67,'HARGA SATUAN'!$C$7:$C$1492,0),0)),0,OFFSET('HARGA SATUAN'!$I$6,MATCH(RAB!C67,'HARGA SATUAN'!$C$7:$C$1492,0),0))</f>
        <v>21200</v>
      </c>
      <c r="H67" s="361">
        <f t="shared" ca="1" si="32"/>
        <v>0</v>
      </c>
      <c r="I67" s="361">
        <f t="shared" ca="1" si="33"/>
        <v>0</v>
      </c>
      <c r="J67" s="361">
        <f t="shared" ca="1" si="34"/>
        <v>21200</v>
      </c>
      <c r="K67" s="362">
        <f t="shared" ca="1" si="35"/>
        <v>21200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8"/>
      <c r="C68" s="49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  <c r="L68" s="342"/>
      <c r="M68" s="342"/>
      <c r="N68" s="369"/>
      <c r="O68" s="344"/>
      <c r="P68" s="397"/>
      <c r="Q68" s="344"/>
    </row>
    <row r="69" spans="1:17">
      <c r="B69" s="366" t="s">
        <v>1608</v>
      </c>
      <c r="C69" s="367" t="s">
        <v>1610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2"/>
        <v>0</v>
      </c>
      <c r="I69" s="361">
        <f t="shared" ca="1" si="33"/>
        <v>0</v>
      </c>
      <c r="J69" s="361">
        <f t="shared" ca="1" si="34"/>
        <v>0</v>
      </c>
      <c r="K69" s="362">
        <f t="shared" ca="1" si="35"/>
        <v>0</v>
      </c>
    </row>
    <row r="70" spans="1:17">
      <c r="B70" s="494"/>
      <c r="C70" s="497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2"/>
        <v>0</v>
      </c>
      <c r="I70" s="361">
        <f t="shared" ca="1" si="33"/>
        <v>0</v>
      </c>
      <c r="J70" s="361">
        <f t="shared" ca="1" si="34"/>
        <v>0</v>
      </c>
      <c r="K70" s="362">
        <f t="shared" ca="1" si="35"/>
        <v>0</v>
      </c>
    </row>
    <row r="71" spans="1:17">
      <c r="B71" s="520" t="s">
        <v>1035</v>
      </c>
      <c r="C71" s="521" t="s">
        <v>1628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02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7" ca="1" si="36">IF(OR(D71="MDU",D71="MDU-KD"),(IF($O$3="RAB NON MDU","PLN KD",G71*F71)),0)</f>
        <v>0</v>
      </c>
      <c r="I71" s="361">
        <f t="shared" ref="I71:I77" ca="1" si="37">IF(D71="HDW",G71*F71,0)</f>
        <v>0</v>
      </c>
      <c r="J71" s="361">
        <f t="shared" ref="J71:J77" ca="1" si="38">IF(D71="JASA",G71*F71,0)</f>
        <v>0</v>
      </c>
      <c r="K71" s="362">
        <f t="shared" ref="K71:K77" ca="1" si="39">SUM(H71:J71)</f>
        <v>0</v>
      </c>
    </row>
    <row r="72" spans="1:17">
      <c r="B72" s="520">
        <v>1</v>
      </c>
      <c r="C72" s="521" t="s">
        <v>535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2">
        <f>F71*1</f>
        <v>1</v>
      </c>
      <c r="G72" s="360">
        <f ca="1">IF(ISERROR(OFFSET('HARGA SATUAN'!$I$6,MATCH(RAB!C72,'HARGA SATUAN'!$C$7:$C$1492,0),0)),0,OFFSET('HARGA SATUAN'!$I$6,MATCH(RAB!C72,'HARGA SATUAN'!$C$7:$C$1492,0),0))</f>
        <v>848250</v>
      </c>
      <c r="H72" s="361">
        <f t="shared" ca="1" si="36"/>
        <v>848250</v>
      </c>
      <c r="I72" s="361">
        <f t="shared" ca="1" si="37"/>
        <v>0</v>
      </c>
      <c r="J72" s="361">
        <f t="shared" ca="1" si="38"/>
        <v>0</v>
      </c>
      <c r="K72" s="362">
        <f t="shared" ca="1" si="39"/>
        <v>848250</v>
      </c>
    </row>
    <row r="73" spans="1:17">
      <c r="B73" s="520">
        <v>2</v>
      </c>
      <c r="C73" s="109" t="s">
        <v>62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2">
        <f>F71*1</f>
        <v>1</v>
      </c>
      <c r="G73" s="360">
        <f ca="1">IF(ISERROR(OFFSET('HARGA SATUAN'!$I$6,MATCH(RAB!C73,'HARGA SATUAN'!$C$7:$C$1492,0),0)),0,OFFSET('HARGA SATUAN'!$I$6,MATCH(RAB!C73,'HARGA SATUAN'!$C$7:$C$1492,0),0))</f>
        <v>32500</v>
      </c>
      <c r="H73" s="361">
        <f t="shared" ca="1" si="36"/>
        <v>0</v>
      </c>
      <c r="I73" s="361">
        <f t="shared" ca="1" si="37"/>
        <v>32500</v>
      </c>
      <c r="J73" s="361">
        <f t="shared" ca="1" si="38"/>
        <v>0</v>
      </c>
      <c r="K73" s="362">
        <f t="shared" ca="1" si="39"/>
        <v>32500</v>
      </c>
    </row>
    <row r="74" spans="1:17">
      <c r="B74" s="520">
        <v>3</v>
      </c>
      <c r="C74" s="521" t="s">
        <v>187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2">
        <f>F71*1</f>
        <v>1</v>
      </c>
      <c r="G74" s="360">
        <f ca="1">IF(ISERROR(OFFSET('HARGA SATUAN'!$I$6,MATCH(RAB!C74,'HARGA SATUAN'!$C$7:$C$1492,0),0)),0,OFFSET('HARGA SATUAN'!$I$6,MATCH(RAB!C74,'HARGA SATUAN'!$C$7:$C$1492,0),0))</f>
        <v>17100</v>
      </c>
      <c r="H74" s="361">
        <f t="shared" ca="1" si="36"/>
        <v>0</v>
      </c>
      <c r="I74" s="361">
        <f t="shared" ca="1" si="37"/>
        <v>17100</v>
      </c>
      <c r="J74" s="361">
        <f t="shared" ca="1" si="38"/>
        <v>0</v>
      </c>
      <c r="K74" s="362">
        <f t="shared" ca="1" si="39"/>
        <v>17100</v>
      </c>
    </row>
    <row r="75" spans="1:17">
      <c r="B75" s="520">
        <v>4</v>
      </c>
      <c r="C75" s="109" t="s">
        <v>174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2">
        <f>F71*1</f>
        <v>1</v>
      </c>
      <c r="G75" s="360">
        <f ca="1">IF(ISERROR(OFFSET('HARGA SATUAN'!$I$6,MATCH(RAB!C75,'HARGA SATUAN'!$C$7:$C$1492,0),0)),0,OFFSET('HARGA SATUAN'!$I$6,MATCH(RAB!C75,'HARGA SATUAN'!$C$7:$C$1492,0),0))</f>
        <v>67700</v>
      </c>
      <c r="H75" s="361">
        <f t="shared" ca="1" si="36"/>
        <v>0</v>
      </c>
      <c r="I75" s="361">
        <f t="shared" ca="1" si="37"/>
        <v>67700</v>
      </c>
      <c r="J75" s="361">
        <f t="shared" ca="1" si="38"/>
        <v>0</v>
      </c>
      <c r="K75" s="362">
        <f t="shared" ca="1" si="39"/>
        <v>67700</v>
      </c>
    </row>
    <row r="76" spans="1:17">
      <c r="B76" s="520">
        <v>5</v>
      </c>
      <c r="C76" s="521" t="s">
        <v>747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02">
        <f>F71*1</f>
        <v>1</v>
      </c>
      <c r="G76" s="360">
        <f ca="1">IF(ISERROR(OFFSET('HARGA SATUAN'!$I$6,MATCH(RAB!C76,'HARGA SATUAN'!$C$7:$C$1492,0),0)),0,OFFSET('HARGA SATUAN'!$I$6,MATCH(RAB!C76,'HARGA SATUAN'!$C$7:$C$1492,0),0))</f>
        <v>58400</v>
      </c>
      <c r="H76" s="361">
        <f t="shared" ca="1" si="36"/>
        <v>0</v>
      </c>
      <c r="I76" s="361">
        <f t="shared" ca="1" si="37"/>
        <v>0</v>
      </c>
      <c r="J76" s="361">
        <f t="shared" ca="1" si="38"/>
        <v>58400</v>
      </c>
      <c r="K76" s="362">
        <f t="shared" ca="1" si="39"/>
        <v>58400</v>
      </c>
    </row>
    <row r="77" spans="1:17">
      <c r="B77" s="494"/>
      <c r="C77" s="497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501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36"/>
        <v>0</v>
      </c>
      <c r="I77" s="361">
        <f t="shared" ca="1" si="37"/>
        <v>0</v>
      </c>
      <c r="J77" s="361">
        <f t="shared" ca="1" si="38"/>
        <v>0</v>
      </c>
      <c r="K77" s="362">
        <f t="shared" ca="1" si="39"/>
        <v>0</v>
      </c>
    </row>
    <row r="78" spans="1:17">
      <c r="B78" s="520" t="s">
        <v>1035</v>
      </c>
      <c r="C78" s="521" t="s">
        <v>1624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23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:H90" ca="1" si="40">IF(OR(D78="MDU",D78="MDU-KD"),(IF($O$3="RAB NON MDU","PLN KD",G78*F78)),0)</f>
        <v>0</v>
      </c>
      <c r="I78" s="361">
        <f t="shared" ref="I78:I90" ca="1" si="41">IF(D78="HDW",G78*F78,0)</f>
        <v>0</v>
      </c>
      <c r="J78" s="361">
        <f t="shared" ref="J78:J90" ca="1" si="42">IF(D78="JASA",G78*F78,0)</f>
        <v>0</v>
      </c>
      <c r="K78" s="362">
        <f t="shared" ref="K78:K90" ca="1" si="43">SUM(H78:J78)</f>
        <v>0</v>
      </c>
    </row>
    <row r="79" spans="1:17">
      <c r="B79" s="520">
        <v>1</v>
      </c>
      <c r="C79" s="506" t="s">
        <v>532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7">
        <f>F78*1</f>
        <v>1</v>
      </c>
      <c r="G79" s="360">
        <f ca="1">IF(ISERROR(OFFSET('HARGA SATUAN'!$I$6,MATCH(RAB!C79,'HARGA SATUAN'!$C$7:$C$1492,0),0)),0,OFFSET('HARGA SATUAN'!$I$6,MATCH(RAB!C79,'HARGA SATUAN'!$C$7:$C$1492,0),0))</f>
        <v>27845400</v>
      </c>
      <c r="H79" s="361">
        <f t="shared" ca="1" si="40"/>
        <v>27845400</v>
      </c>
      <c r="I79" s="361">
        <f t="shared" ca="1" si="41"/>
        <v>0</v>
      </c>
      <c r="J79" s="361">
        <f t="shared" ca="1" si="42"/>
        <v>0</v>
      </c>
      <c r="K79" s="362">
        <f t="shared" ca="1" si="43"/>
        <v>27845400</v>
      </c>
    </row>
    <row r="80" spans="1:17">
      <c r="B80" s="503">
        <v>2</v>
      </c>
      <c r="C80" s="506" t="s">
        <v>1612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7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0"/>
        <v>0</v>
      </c>
      <c r="I80" s="361">
        <f t="shared" ca="1" si="41"/>
        <v>0</v>
      </c>
      <c r="J80" s="361">
        <f t="shared" ca="1" si="42"/>
        <v>0</v>
      </c>
      <c r="K80" s="362">
        <f t="shared" ca="1" si="43"/>
        <v>0</v>
      </c>
    </row>
    <row r="81" spans="2:11">
      <c r="B81" s="503"/>
      <c r="C81" s="506" t="s">
        <v>65</v>
      </c>
      <c r="D81" s="358" t="str">
        <f ca="1">IF(ISERROR(OFFSET('HARGA SATUAN'!$D$6,MATCH(RAB!C81,'HARGA SATUAN'!$C$7:$C$1492,0),0)),"",OFFSET('HARGA SATUAN'!$D$6,MATCH(RAB!C81,'HARGA SATUAN'!$C$7:$C$1492,0),0))</f>
        <v>MDU-KD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507">
        <f>F78*2</f>
        <v>2</v>
      </c>
      <c r="G81" s="360">
        <f ca="1">IF(ISERROR(OFFSET('HARGA SATUAN'!$I$6,MATCH(RAB!C81,'HARGA SATUAN'!$C$7:$C$1492,0),0)),0,OFFSET('HARGA SATUAN'!$I$6,MATCH(RAB!C81,'HARGA SATUAN'!$C$7:$C$1492,0),0))</f>
        <v>14200</v>
      </c>
      <c r="H81" s="361">
        <f t="shared" ca="1" si="40"/>
        <v>28400</v>
      </c>
      <c r="I81" s="361">
        <f t="shared" ca="1" si="41"/>
        <v>0</v>
      </c>
      <c r="J81" s="361">
        <f t="shared" ca="1" si="42"/>
        <v>0</v>
      </c>
      <c r="K81" s="362">
        <f t="shared" ca="1" si="43"/>
        <v>28400</v>
      </c>
    </row>
    <row r="82" spans="2:11">
      <c r="B82" s="520"/>
      <c r="C82" s="506" t="s">
        <v>1625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507">
        <f>F78*2</f>
        <v>2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0"/>
        <v>0</v>
      </c>
      <c r="I82" s="361">
        <f t="shared" ca="1" si="41"/>
        <v>0</v>
      </c>
      <c r="J82" s="361">
        <f t="shared" ca="1" si="42"/>
        <v>0</v>
      </c>
      <c r="K82" s="362">
        <f t="shared" ca="1" si="43"/>
        <v>0</v>
      </c>
    </row>
    <row r="83" spans="2:11">
      <c r="B83" s="520">
        <v>3</v>
      </c>
      <c r="C83" s="506" t="s">
        <v>207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7">
        <f>F78*1</f>
        <v>1</v>
      </c>
      <c r="G83" s="360">
        <f ca="1">IF(ISERROR(OFFSET('HARGA SATUAN'!$I$6,MATCH(RAB!C83,'HARGA SATUAN'!$C$7:$C$1492,0),0)),0,OFFSET('HARGA SATUAN'!$I$6,MATCH(RAB!C83,'HARGA SATUAN'!$C$7:$C$1492,0),0))</f>
        <v>87000</v>
      </c>
      <c r="H83" s="361">
        <f t="shared" ca="1" si="40"/>
        <v>0</v>
      </c>
      <c r="I83" s="361">
        <f t="shared" ca="1" si="41"/>
        <v>87000</v>
      </c>
      <c r="J83" s="361">
        <f t="shared" ca="1" si="42"/>
        <v>0</v>
      </c>
      <c r="K83" s="362">
        <f t="shared" ca="1" si="43"/>
        <v>87000</v>
      </c>
    </row>
    <row r="84" spans="2:11">
      <c r="B84" s="520">
        <v>4</v>
      </c>
      <c r="C84" s="506" t="s">
        <v>176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7">
        <f>F78*2</f>
        <v>2</v>
      </c>
      <c r="G84" s="360">
        <f ca="1">IF(ISERROR(OFFSET('HARGA SATUAN'!$I$6,MATCH(RAB!C84,'HARGA SATUAN'!$C$7:$C$1492,0),0)),0,OFFSET('HARGA SATUAN'!$I$6,MATCH(RAB!C84,'HARGA SATUAN'!$C$7:$C$1492,0),0))</f>
        <v>404600</v>
      </c>
      <c r="H84" s="361">
        <f t="shared" ca="1" si="40"/>
        <v>0</v>
      </c>
      <c r="I84" s="361">
        <f t="shared" ca="1" si="41"/>
        <v>809200</v>
      </c>
      <c r="J84" s="361">
        <f t="shared" ca="1" si="42"/>
        <v>0</v>
      </c>
      <c r="K84" s="362">
        <f t="shared" ca="1" si="43"/>
        <v>809200</v>
      </c>
    </row>
    <row r="85" spans="2:11">
      <c r="B85" s="520">
        <v>5</v>
      </c>
      <c r="C85" s="506" t="s">
        <v>184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7">
        <f>F78*3</f>
        <v>3</v>
      </c>
      <c r="G85" s="360">
        <f ca="1">IF(ISERROR(OFFSET('HARGA SATUAN'!$I$6,MATCH(RAB!C85,'HARGA SATUAN'!$C$7:$C$1492,0),0)),0,OFFSET('HARGA SATUAN'!$I$6,MATCH(RAB!C85,'HARGA SATUAN'!$C$7:$C$1492,0),0))</f>
        <v>15900</v>
      </c>
      <c r="H85" s="361">
        <f t="shared" ca="1" si="40"/>
        <v>0</v>
      </c>
      <c r="I85" s="361">
        <f t="shared" ca="1" si="41"/>
        <v>47700</v>
      </c>
      <c r="J85" s="361">
        <f t="shared" ca="1" si="42"/>
        <v>0</v>
      </c>
      <c r="K85" s="362">
        <f t="shared" ca="1" si="43"/>
        <v>47700</v>
      </c>
    </row>
    <row r="86" spans="2:11">
      <c r="B86" s="520">
        <v>6</v>
      </c>
      <c r="C86" s="506" t="s">
        <v>187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7">
        <f>F78*2</f>
        <v>2</v>
      </c>
      <c r="G86" s="360">
        <f ca="1">IF(ISERROR(OFFSET('HARGA SATUAN'!$I$6,MATCH(RAB!C86,'HARGA SATUAN'!$C$7:$C$1492,0),0)),0,OFFSET('HARGA SATUAN'!$I$6,MATCH(RAB!C86,'HARGA SATUAN'!$C$7:$C$1492,0),0))</f>
        <v>17100</v>
      </c>
      <c r="H86" s="361">
        <f t="shared" ca="1" si="40"/>
        <v>0</v>
      </c>
      <c r="I86" s="361">
        <f t="shared" ca="1" si="41"/>
        <v>34200</v>
      </c>
      <c r="J86" s="361">
        <f t="shared" ca="1" si="42"/>
        <v>0</v>
      </c>
      <c r="K86" s="362">
        <f t="shared" ca="1" si="43"/>
        <v>34200</v>
      </c>
    </row>
    <row r="87" spans="2:11">
      <c r="B87" s="520">
        <v>7</v>
      </c>
      <c r="C87" s="506" t="s">
        <v>1626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507">
        <f>F78*4</f>
        <v>4</v>
      </c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40"/>
        <v>0</v>
      </c>
      <c r="I87" s="361">
        <f t="shared" ca="1" si="41"/>
        <v>0</v>
      </c>
      <c r="J87" s="361">
        <f t="shared" ca="1" si="42"/>
        <v>0</v>
      </c>
      <c r="K87" s="362">
        <f t="shared" ca="1" si="43"/>
        <v>0</v>
      </c>
    </row>
    <row r="88" spans="2:11">
      <c r="B88" s="520">
        <v>8</v>
      </c>
      <c r="C88" s="506" t="s">
        <v>149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Set</v>
      </c>
      <c r="F88" s="507">
        <f>F78*1</f>
        <v>1</v>
      </c>
      <c r="G88" s="360">
        <f ca="1">IF(ISERROR(OFFSET('HARGA SATUAN'!$I$6,MATCH(RAB!C88,'HARGA SATUAN'!$C$7:$C$1492,0),0)),0,OFFSET('HARGA SATUAN'!$I$6,MATCH(RAB!C88,'HARGA SATUAN'!$C$7:$C$1492,0),0))</f>
        <v>67800</v>
      </c>
      <c r="H88" s="361">
        <f t="shared" ca="1" si="40"/>
        <v>0</v>
      </c>
      <c r="I88" s="361">
        <f t="shared" ca="1" si="41"/>
        <v>67800</v>
      </c>
      <c r="J88" s="361">
        <f t="shared" ca="1" si="42"/>
        <v>0</v>
      </c>
      <c r="K88" s="362">
        <f t="shared" ca="1" si="43"/>
        <v>67800</v>
      </c>
    </row>
    <row r="89" spans="2:11">
      <c r="B89" s="520">
        <v>9</v>
      </c>
      <c r="C89" s="506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507">
        <f>F78*2</f>
        <v>2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40"/>
        <v>0</v>
      </c>
      <c r="I89" s="361">
        <f t="shared" ca="1" si="41"/>
        <v>60000</v>
      </c>
      <c r="J89" s="361">
        <f t="shared" ca="1" si="42"/>
        <v>0</v>
      </c>
      <c r="K89" s="362">
        <f t="shared" ca="1" si="43"/>
        <v>60000</v>
      </c>
    </row>
    <row r="90" spans="2:11">
      <c r="B90" s="520">
        <v>10</v>
      </c>
      <c r="C90" s="506" t="s">
        <v>781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07">
        <f>F78*1</f>
        <v>1</v>
      </c>
      <c r="G90" s="360">
        <f ca="1">IF(ISERROR(OFFSET('HARGA SATUAN'!$I$6,MATCH(RAB!C90,'HARGA SATUAN'!$C$7:$C$1492,0),0)),0,OFFSET('HARGA SATUAN'!$I$6,MATCH(RAB!C90,'HARGA SATUAN'!$C$7:$C$1492,0),0))</f>
        <v>346400</v>
      </c>
      <c r="H90" s="361">
        <f t="shared" ca="1" si="40"/>
        <v>0</v>
      </c>
      <c r="I90" s="361">
        <f t="shared" ca="1" si="41"/>
        <v>0</v>
      </c>
      <c r="J90" s="361">
        <f t="shared" ca="1" si="42"/>
        <v>346400</v>
      </c>
      <c r="K90" s="362">
        <f t="shared" ca="1" si="43"/>
        <v>346400</v>
      </c>
    </row>
    <row r="91" spans="2:11">
      <c r="B91" s="508"/>
      <c r="C91" s="109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501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ref="H91" ca="1" si="44">IF(OR(D91="MDU",D91="MDU-KD"),(IF($O$3="RAB NON MDU","PLN KD",G91*F91)),0)</f>
        <v>0</v>
      </c>
      <c r="I91" s="361">
        <f t="shared" ref="I91" ca="1" si="45">IF(D91="HDW",G91*F91,0)</f>
        <v>0</v>
      </c>
      <c r="J91" s="361">
        <f t="shared" ref="J91" ca="1" si="46">IF(D91="JASA",G91*F91,0)</f>
        <v>0</v>
      </c>
      <c r="K91" s="362">
        <f t="shared" ref="K91" ca="1" si="47">SUM(H91:J91)</f>
        <v>0</v>
      </c>
    </row>
    <row r="92" spans="2:11">
      <c r="B92" s="503" t="s">
        <v>1035</v>
      </c>
      <c r="C92" s="504" t="s">
        <v>1613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501">
        <v>2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ref="H92:H102" ca="1" si="48">IF(OR(D92="MDU",D92="MDU-KD"),(IF($O$3="RAB NON MDU","PLN KD",G92*F92)),0)</f>
        <v>0</v>
      </c>
      <c r="I92" s="361">
        <f t="shared" ref="I92:I102" ca="1" si="49">IF(D92="HDW",G92*F92,0)</f>
        <v>0</v>
      </c>
      <c r="J92" s="361">
        <f t="shared" ref="J92:J102" ca="1" si="50">IF(D92="JASA",G92*F92,0)</f>
        <v>0</v>
      </c>
      <c r="K92" s="362">
        <f t="shared" ref="K92:K102" ca="1" si="51">SUM(H92:J92)</f>
        <v>0</v>
      </c>
    </row>
    <row r="93" spans="2:11">
      <c r="B93" s="503">
        <v>1</v>
      </c>
      <c r="C93" s="505" t="s">
        <v>29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1">
        <f>F92*1</f>
        <v>2</v>
      </c>
      <c r="G93" s="360">
        <f ca="1">IF(ISERROR(OFFSET('HARGA SATUAN'!$I$6,MATCH(RAB!C93,'HARGA SATUAN'!$C$7:$C$1492,0),0)),0,OFFSET('HARGA SATUAN'!$I$6,MATCH(RAB!C93,'HARGA SATUAN'!$C$7:$C$1492,0),0))</f>
        <v>185200</v>
      </c>
      <c r="H93" s="361">
        <f t="shared" ca="1" si="48"/>
        <v>0</v>
      </c>
      <c r="I93" s="361">
        <f t="shared" ca="1" si="49"/>
        <v>370400</v>
      </c>
      <c r="J93" s="361">
        <f t="shared" ca="1" si="50"/>
        <v>0</v>
      </c>
      <c r="K93" s="362">
        <f t="shared" ca="1" si="51"/>
        <v>370400</v>
      </c>
    </row>
    <row r="94" spans="2:11">
      <c r="B94" s="498">
        <v>2</v>
      </c>
      <c r="C94" s="499" t="s">
        <v>30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1">
        <f>F92*1</f>
        <v>2</v>
      </c>
      <c r="G94" s="360">
        <f ca="1">IF(ISERROR(OFFSET('HARGA SATUAN'!$I$6,MATCH(RAB!C94,'HARGA SATUAN'!$C$7:$C$1492,0),0)),0,OFFSET('HARGA SATUAN'!$I$6,MATCH(RAB!C94,'HARGA SATUAN'!$C$7:$C$1492,0),0))</f>
        <v>47459</v>
      </c>
      <c r="H94" s="361">
        <f t="shared" ca="1" si="48"/>
        <v>0</v>
      </c>
      <c r="I94" s="361">
        <f t="shared" ca="1" si="49"/>
        <v>94918</v>
      </c>
      <c r="J94" s="361">
        <f t="shared" ca="1" si="50"/>
        <v>0</v>
      </c>
      <c r="K94" s="362">
        <f t="shared" ca="1" si="51"/>
        <v>94918</v>
      </c>
    </row>
    <row r="95" spans="2:11">
      <c r="B95" s="498">
        <v>3</v>
      </c>
      <c r="C95" s="499" t="s">
        <v>31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1">
        <f>F92*1</f>
        <v>2</v>
      </c>
      <c r="G95" s="360">
        <f ca="1">IF(ISERROR(OFFSET('HARGA SATUAN'!$I$6,MATCH(RAB!C95,'HARGA SATUAN'!$C$7:$C$1492,0),0)),0,OFFSET('HARGA SATUAN'!$I$6,MATCH(RAB!C95,'HARGA SATUAN'!$C$7:$C$1492,0),0))</f>
        <v>4880</v>
      </c>
      <c r="H95" s="361">
        <f t="shared" ca="1" si="48"/>
        <v>0</v>
      </c>
      <c r="I95" s="361">
        <f t="shared" ca="1" si="49"/>
        <v>9760</v>
      </c>
      <c r="J95" s="361">
        <f t="shared" ca="1" si="50"/>
        <v>0</v>
      </c>
      <c r="K95" s="362">
        <f t="shared" ca="1" si="51"/>
        <v>9760</v>
      </c>
    </row>
    <row r="96" spans="2:11">
      <c r="B96" s="498">
        <v>4</v>
      </c>
      <c r="C96" s="499" t="s">
        <v>32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501">
        <f>F92*10</f>
        <v>20</v>
      </c>
      <c r="G96" s="360">
        <f ca="1">IF(ISERROR(OFFSET('HARGA SATUAN'!$I$6,MATCH(RAB!C96,'HARGA SATUAN'!$C$7:$C$1492,0),0)),0,OFFSET('HARGA SATUAN'!$I$6,MATCH(RAB!C96,'HARGA SATUAN'!$C$7:$C$1492,0),0))</f>
        <v>30000</v>
      </c>
      <c r="H96" s="361">
        <f t="shared" ca="1" si="48"/>
        <v>0</v>
      </c>
      <c r="I96" s="361">
        <f t="shared" ca="1" si="49"/>
        <v>600000</v>
      </c>
      <c r="J96" s="361">
        <f t="shared" ca="1" si="50"/>
        <v>0</v>
      </c>
      <c r="K96" s="362">
        <f t="shared" ca="1" si="51"/>
        <v>600000</v>
      </c>
    </row>
    <row r="97" spans="2:11">
      <c r="B97" s="498">
        <v>5</v>
      </c>
      <c r="C97" s="499" t="s">
        <v>33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01">
        <f>F92*2</f>
        <v>4</v>
      </c>
      <c r="G97" s="360">
        <f ca="1">IF(ISERROR(OFFSET('HARGA SATUAN'!$I$6,MATCH(RAB!C97,'HARGA SATUAN'!$C$7:$C$1492,0),0)),0,OFFSET('HARGA SATUAN'!$I$6,MATCH(RAB!C97,'HARGA SATUAN'!$C$7:$C$1492,0),0))</f>
        <v>9500</v>
      </c>
      <c r="H97" s="361">
        <f t="shared" ca="1" si="48"/>
        <v>0</v>
      </c>
      <c r="I97" s="361">
        <f t="shared" ca="1" si="49"/>
        <v>38000</v>
      </c>
      <c r="J97" s="361">
        <f t="shared" ca="1" si="50"/>
        <v>0</v>
      </c>
      <c r="K97" s="362">
        <f t="shared" ca="1" si="51"/>
        <v>38000</v>
      </c>
    </row>
    <row r="98" spans="2:11">
      <c r="B98" s="498">
        <v>6</v>
      </c>
      <c r="C98" s="499" t="s">
        <v>34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1">
        <f>F92*5.5</f>
        <v>11</v>
      </c>
      <c r="G98" s="360">
        <f ca="1">IF(ISERROR(OFFSET('HARGA SATUAN'!$I$6,MATCH(RAB!C98,'HARGA SATUAN'!$C$7:$C$1492,0),0)),0,OFFSET('HARGA SATUAN'!$I$6,MATCH(RAB!C98,'HARGA SATUAN'!$C$7:$C$1492,0),0))</f>
        <v>6100</v>
      </c>
      <c r="H98" s="361">
        <f t="shared" ca="1" si="48"/>
        <v>0</v>
      </c>
      <c r="I98" s="361">
        <f t="shared" ca="1" si="49"/>
        <v>67100</v>
      </c>
      <c r="J98" s="361">
        <f t="shared" ca="1" si="50"/>
        <v>0</v>
      </c>
      <c r="K98" s="362">
        <f t="shared" ca="1" si="51"/>
        <v>67100</v>
      </c>
    </row>
    <row r="99" spans="2:11">
      <c r="B99" s="498">
        <v>7</v>
      </c>
      <c r="C99" s="499" t="s">
        <v>35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1">
        <f>F92*6</f>
        <v>12</v>
      </c>
      <c r="G99" s="360">
        <f ca="1">IF(ISERROR(OFFSET('HARGA SATUAN'!$I$6,MATCH(RAB!C99,'HARGA SATUAN'!$C$7:$C$1492,0),0)),0,OFFSET('HARGA SATUAN'!$I$6,MATCH(RAB!C99,'HARGA SATUAN'!$C$7:$C$1492,0),0))</f>
        <v>2300</v>
      </c>
      <c r="H99" s="361">
        <f t="shared" ca="1" si="48"/>
        <v>0</v>
      </c>
      <c r="I99" s="361">
        <f t="shared" ca="1" si="49"/>
        <v>27600</v>
      </c>
      <c r="J99" s="361">
        <f t="shared" ca="1" si="50"/>
        <v>0</v>
      </c>
      <c r="K99" s="362">
        <f t="shared" ca="1" si="51"/>
        <v>27600</v>
      </c>
    </row>
    <row r="100" spans="2:11">
      <c r="B100" s="498">
        <v>8</v>
      </c>
      <c r="C100" s="499" t="s">
        <v>1614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Mtr</v>
      </c>
      <c r="F100" s="501">
        <f>F92*4.8</f>
        <v>9.6</v>
      </c>
      <c r="G100" s="360">
        <f ca="1">IF(ISERROR(OFFSET('HARGA SATUAN'!$I$6,MATCH(RAB!C100,'HARGA SATUAN'!$C$7:$C$1492,0),0)),0,OFFSET('HARGA SATUAN'!$I$6,MATCH(RAB!C100,'HARGA SATUAN'!$C$7:$C$1492,0),0))</f>
        <v>23310</v>
      </c>
      <c r="H100" s="361">
        <f t="shared" ca="1" si="48"/>
        <v>0</v>
      </c>
      <c r="I100" s="361">
        <f t="shared" ca="1" si="49"/>
        <v>223776</v>
      </c>
      <c r="J100" s="361">
        <f t="shared" ca="1" si="50"/>
        <v>0</v>
      </c>
      <c r="K100" s="362">
        <f t="shared" ca="1" si="51"/>
        <v>223776</v>
      </c>
    </row>
    <row r="101" spans="2:11">
      <c r="B101" s="498">
        <v>9</v>
      </c>
      <c r="C101" s="499" t="s">
        <v>736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01">
        <f>F92*1</f>
        <v>2</v>
      </c>
      <c r="G101" s="360">
        <f ca="1">IF(ISERROR(OFFSET('HARGA SATUAN'!$I$6,MATCH(RAB!C101,'HARGA SATUAN'!$C$7:$C$1492,0),0)),0,OFFSET('HARGA SATUAN'!$I$6,MATCH(RAB!C101,'HARGA SATUAN'!$C$7:$C$1492,0),0))</f>
        <v>65400</v>
      </c>
      <c r="H101" s="361">
        <f t="shared" ca="1" si="48"/>
        <v>0</v>
      </c>
      <c r="I101" s="361">
        <f t="shared" ca="1" si="49"/>
        <v>0</v>
      </c>
      <c r="J101" s="361">
        <f t="shared" ca="1" si="50"/>
        <v>130800</v>
      </c>
      <c r="K101" s="362">
        <f t="shared" ca="1" si="51"/>
        <v>130800</v>
      </c>
    </row>
    <row r="102" spans="2:11">
      <c r="B102" s="494"/>
      <c r="C102" s="497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502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48"/>
        <v>0</v>
      </c>
      <c r="I102" s="361">
        <f t="shared" ca="1" si="49"/>
        <v>0</v>
      </c>
      <c r="J102" s="361">
        <f t="shared" ca="1" si="50"/>
        <v>0</v>
      </c>
      <c r="K102" s="362">
        <f t="shared" ca="1" si="51"/>
        <v>0</v>
      </c>
    </row>
    <row r="103" spans="2:11">
      <c r="B103" s="495" t="s">
        <v>1609</v>
      </c>
      <c r="C103" s="500" t="s">
        <v>1615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368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ref="H103:H109" ca="1" si="52">IF(OR(D103="MDU",D103="MDU-KD"),(IF($O$3="RAB NON MDU","PLN KD",G103*F103)),0)</f>
        <v>0</v>
      </c>
      <c r="I103" s="361">
        <f t="shared" ref="I103:I109" ca="1" si="53">IF(D103="HDW",G103*F103,0)</f>
        <v>0</v>
      </c>
      <c r="J103" s="361">
        <f t="shared" ref="J103:J109" ca="1" si="54">IF(D103="JASA",G103*F103,0)</f>
        <v>0</v>
      </c>
      <c r="K103" s="362">
        <f t="shared" ref="K103:K109" ca="1" si="55">SUM(H103:J103)</f>
        <v>0</v>
      </c>
    </row>
    <row r="104" spans="2:11">
      <c r="B104" s="495"/>
      <c r="C104" s="496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510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52"/>
        <v>0</v>
      </c>
      <c r="I104" s="361">
        <f t="shared" ca="1" si="53"/>
        <v>0</v>
      </c>
      <c r="J104" s="361">
        <f t="shared" ca="1" si="54"/>
        <v>0</v>
      </c>
      <c r="K104" s="362">
        <f t="shared" ca="1" si="55"/>
        <v>0</v>
      </c>
    </row>
    <row r="105" spans="2:11">
      <c r="B105" s="495" t="s">
        <v>1035</v>
      </c>
      <c r="C105" s="496" t="s">
        <v>1632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28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52"/>
        <v>0</v>
      </c>
      <c r="I105" s="361">
        <f t="shared" ca="1" si="53"/>
        <v>0</v>
      </c>
      <c r="J105" s="361">
        <f t="shared" ca="1" si="54"/>
        <v>0</v>
      </c>
      <c r="K105" s="362">
        <f t="shared" ca="1" si="55"/>
        <v>0</v>
      </c>
    </row>
    <row r="106" spans="2:11">
      <c r="B106" s="526">
        <v>1</v>
      </c>
      <c r="C106" s="109" t="s">
        <v>482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28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327600</v>
      </c>
      <c r="H106" s="361">
        <f t="shared" ca="1" si="52"/>
        <v>327600</v>
      </c>
      <c r="I106" s="361">
        <f t="shared" ca="1" si="53"/>
        <v>0</v>
      </c>
      <c r="J106" s="361">
        <f t="shared" ca="1" si="54"/>
        <v>0</v>
      </c>
      <c r="K106" s="362">
        <f t="shared" ca="1" si="55"/>
        <v>327600</v>
      </c>
    </row>
    <row r="107" spans="2:11">
      <c r="B107" s="526">
        <v>2</v>
      </c>
      <c r="C107" s="527" t="s">
        <v>486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28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39000</v>
      </c>
      <c r="H107" s="361">
        <f t="shared" ca="1" si="52"/>
        <v>39000</v>
      </c>
      <c r="I107" s="361">
        <f t="shared" ca="1" si="53"/>
        <v>0</v>
      </c>
      <c r="J107" s="361">
        <f t="shared" ca="1" si="54"/>
        <v>0</v>
      </c>
      <c r="K107" s="362">
        <f t="shared" ca="1" si="55"/>
        <v>39000</v>
      </c>
    </row>
    <row r="108" spans="2:11">
      <c r="B108" s="526">
        <v>3</v>
      </c>
      <c r="C108" s="527" t="s">
        <v>73</v>
      </c>
      <c r="D108" s="358" t="str">
        <f ca="1">IF(ISERROR(OFFSET('HARGA SATUAN'!$D$6,MATCH(RAB!C108,'HARGA SATUAN'!$C$7:$C$1492,0),0)),"",OFFSET('HARGA SATUAN'!$D$6,MATCH(RAB!C108,'HARGA SATUAN'!$C$7:$C$1492,0),0))</f>
        <v>MDU-KD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528">
        <v>20</v>
      </c>
      <c r="G108" s="360">
        <f ca="1">IF(ISERROR(OFFSET('HARGA SATUAN'!$I$6,MATCH(RAB!C108,'HARGA SATUAN'!$C$7:$C$1492,0),0)),0,OFFSET('HARGA SATUAN'!$I$6,MATCH(RAB!C108,'HARGA SATUAN'!$C$7:$C$1492,0),0))</f>
        <v>4300</v>
      </c>
      <c r="H108" s="361">
        <f t="shared" ca="1" si="52"/>
        <v>86000</v>
      </c>
      <c r="I108" s="361">
        <f t="shared" ca="1" si="53"/>
        <v>0</v>
      </c>
      <c r="J108" s="361">
        <f t="shared" ca="1" si="54"/>
        <v>0</v>
      </c>
      <c r="K108" s="362">
        <f t="shared" ca="1" si="55"/>
        <v>86000</v>
      </c>
    </row>
    <row r="109" spans="2:11">
      <c r="B109" s="526">
        <v>4</v>
      </c>
      <c r="C109" s="527" t="s">
        <v>798</v>
      </c>
      <c r="D109" s="358" t="str">
        <f ca="1">IF(ISERROR(OFFSET('HARGA SATUAN'!$D$6,MATCH(RAB!C109,'HARGA SATUAN'!$C$7:$C$1492,0),0)),"",OFFSET('HARGA SATUAN'!$D$6,MATCH(RAB!C109,'HARGA SATUAN'!$C$7:$C$1492,0),0))</f>
        <v>JASA</v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528">
        <f>F105*1</f>
        <v>1</v>
      </c>
      <c r="G109" s="360">
        <f ca="1">IF(ISERROR(OFFSET('HARGA SATUAN'!$I$6,MATCH(RAB!C109,'HARGA SATUAN'!$C$7:$C$1492,0),0)),0,OFFSET('HARGA SATUAN'!$I$6,MATCH(RAB!C109,'HARGA SATUAN'!$C$7:$C$1492,0),0))</f>
        <v>54400</v>
      </c>
      <c r="H109" s="361">
        <f t="shared" ca="1" si="52"/>
        <v>0</v>
      </c>
      <c r="I109" s="361">
        <f t="shared" ca="1" si="53"/>
        <v>0</v>
      </c>
      <c r="J109" s="361">
        <f t="shared" ca="1" si="54"/>
        <v>54400</v>
      </c>
      <c r="K109" s="362">
        <f t="shared" ca="1" si="55"/>
        <v>54400</v>
      </c>
    </row>
    <row r="110" spans="2:11">
      <c r="B110" s="374"/>
      <c r="C110" s="509"/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368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ref="H110:H122" ca="1" si="56">IF(OR(D110="MDU",D110="MDU-KD"),(IF($O$3="RAB NON MDU","PLN KD",G110*F110)),0)</f>
        <v>0</v>
      </c>
      <c r="I110" s="361">
        <f t="shared" ref="I110:I122" ca="1" si="57">IF(D110="HDW",G110*F110,0)</f>
        <v>0</v>
      </c>
      <c r="J110" s="361">
        <f t="shared" ref="J110:J122" ca="1" si="58">IF(D110="JASA",G110*F110,0)</f>
        <v>0</v>
      </c>
      <c r="K110" s="362">
        <f t="shared" ref="K110:K122" ca="1" si="59">SUM(H110:J110)</f>
        <v>0</v>
      </c>
    </row>
    <row r="111" spans="2:11">
      <c r="B111" s="520" t="s">
        <v>1035</v>
      </c>
      <c r="C111" s="522" t="s">
        <v>1627</v>
      </c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523">
        <v>1</v>
      </c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56"/>
        <v>0</v>
      </c>
      <c r="I111" s="361">
        <f t="shared" ca="1" si="57"/>
        <v>0</v>
      </c>
      <c r="J111" s="361">
        <f t="shared" ca="1" si="58"/>
        <v>0</v>
      </c>
      <c r="K111" s="362">
        <f t="shared" ca="1" si="59"/>
        <v>0</v>
      </c>
    </row>
    <row r="112" spans="2:11">
      <c r="B112" s="520">
        <v>1</v>
      </c>
      <c r="C112" s="522" t="s">
        <v>115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Set</v>
      </c>
      <c r="F112" s="523">
        <f>F111*1</f>
        <v>1</v>
      </c>
      <c r="G112" s="360">
        <f ca="1">IF(ISERROR(OFFSET('HARGA SATUAN'!$I$6,MATCH(RAB!C112,'HARGA SATUAN'!$C$7:$C$1492,0),0)),0,OFFSET('HARGA SATUAN'!$I$6,MATCH(RAB!C112,'HARGA SATUAN'!$C$7:$C$1492,0),0))</f>
        <v>11500</v>
      </c>
      <c r="H112" s="361">
        <f t="shared" ca="1" si="56"/>
        <v>0</v>
      </c>
      <c r="I112" s="361">
        <f t="shared" ca="1" si="57"/>
        <v>11500</v>
      </c>
      <c r="J112" s="361">
        <f t="shared" ca="1" si="58"/>
        <v>0</v>
      </c>
      <c r="K112" s="362">
        <f t="shared" ca="1" si="59"/>
        <v>11500</v>
      </c>
    </row>
    <row r="113" spans="2:13">
      <c r="B113" s="520">
        <v>2</v>
      </c>
      <c r="C113" s="522" t="s">
        <v>145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23">
        <f>F111*1</f>
        <v>1</v>
      </c>
      <c r="G113" s="360">
        <f ca="1">IF(ISERROR(OFFSET('HARGA SATUAN'!$I$6,MATCH(RAB!C113,'HARGA SATUAN'!$C$7:$C$1492,0),0)),0,OFFSET('HARGA SATUAN'!$I$6,MATCH(RAB!C113,'HARGA SATUAN'!$C$7:$C$1492,0),0))</f>
        <v>6200</v>
      </c>
      <c r="H113" s="361">
        <f t="shared" ca="1" si="56"/>
        <v>0</v>
      </c>
      <c r="I113" s="361">
        <f t="shared" ca="1" si="57"/>
        <v>6200</v>
      </c>
      <c r="J113" s="361">
        <f t="shared" ca="1" si="58"/>
        <v>0</v>
      </c>
      <c r="K113" s="362">
        <f t="shared" ca="1" si="59"/>
        <v>6200</v>
      </c>
    </row>
    <row r="114" spans="2:13">
      <c r="B114" s="520">
        <v>3</v>
      </c>
      <c r="C114" s="522" t="s">
        <v>587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Btg</v>
      </c>
      <c r="F114" s="523">
        <f>F111*1</f>
        <v>1</v>
      </c>
      <c r="G114" s="360">
        <f ca="1">IF(ISERROR(OFFSET('HARGA SATUAN'!$I$6,MATCH(RAB!C114,'HARGA SATUAN'!$C$7:$C$1492,0),0)),0,OFFSET('HARGA SATUAN'!$I$6,MATCH(RAB!C114,'HARGA SATUAN'!$C$7:$C$1492,0),0))</f>
        <v>45796</v>
      </c>
      <c r="H114" s="361">
        <f t="shared" ca="1" si="56"/>
        <v>0</v>
      </c>
      <c r="I114" s="361">
        <f t="shared" ca="1" si="57"/>
        <v>45796</v>
      </c>
      <c r="J114" s="361">
        <f t="shared" ca="1" si="58"/>
        <v>0</v>
      </c>
      <c r="K114" s="362">
        <f t="shared" ca="1" si="59"/>
        <v>45796</v>
      </c>
    </row>
    <row r="115" spans="2:13">
      <c r="B115" s="520">
        <v>4</v>
      </c>
      <c r="C115" s="522" t="s">
        <v>118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Set</v>
      </c>
      <c r="F115" s="523">
        <f>F111*1</f>
        <v>1</v>
      </c>
      <c r="G115" s="360">
        <f ca="1">IF(ISERROR(OFFSET('HARGA SATUAN'!$I$6,MATCH(RAB!C115,'HARGA SATUAN'!$C$7:$C$1492,0),0)),0,OFFSET('HARGA SATUAN'!$I$6,MATCH(RAB!C115,'HARGA SATUAN'!$C$7:$C$1492,0),0))</f>
        <v>5300</v>
      </c>
      <c r="H115" s="361">
        <f t="shared" ca="1" si="56"/>
        <v>0</v>
      </c>
      <c r="I115" s="361">
        <f t="shared" ca="1" si="57"/>
        <v>5300</v>
      </c>
      <c r="J115" s="361">
        <f t="shared" ca="1" si="58"/>
        <v>0</v>
      </c>
      <c r="K115" s="362">
        <f t="shared" ca="1" si="59"/>
        <v>5300</v>
      </c>
    </row>
    <row r="116" spans="2:13">
      <c r="B116" s="520">
        <v>5</v>
      </c>
      <c r="C116" s="522" t="s">
        <v>117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23">
        <f>F111*1</f>
        <v>1</v>
      </c>
      <c r="G116" s="360">
        <f ca="1">IF(ISERROR(OFFSET('HARGA SATUAN'!$I$6,MATCH(RAB!C116,'HARGA SATUAN'!$C$7:$C$1492,0),0)),0,OFFSET('HARGA SATUAN'!$I$6,MATCH(RAB!C116,'HARGA SATUAN'!$C$7:$C$1492,0),0))</f>
        <v>58600</v>
      </c>
      <c r="H116" s="361">
        <f t="shared" ca="1" si="56"/>
        <v>0</v>
      </c>
      <c r="I116" s="361">
        <f t="shared" ca="1" si="57"/>
        <v>58600</v>
      </c>
      <c r="J116" s="361">
        <f t="shared" ca="1" si="58"/>
        <v>0</v>
      </c>
      <c r="K116" s="362">
        <f t="shared" ca="1" si="59"/>
        <v>58600</v>
      </c>
    </row>
    <row r="117" spans="2:13">
      <c r="B117" s="520">
        <v>6</v>
      </c>
      <c r="C117" s="109" t="s">
        <v>1154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Set</v>
      </c>
      <c r="F117" s="523">
        <f>F111*1</f>
        <v>1</v>
      </c>
      <c r="G117" s="360">
        <f ca="1">IF(ISERROR(OFFSET('HARGA SATUAN'!$I$6,MATCH(RAB!C117,'HARGA SATUAN'!$C$7:$C$1492,0),0)),0,OFFSET('HARGA SATUAN'!$I$6,MATCH(RAB!C117,'HARGA SATUAN'!$C$7:$C$1492,0),0))</f>
        <v>3888</v>
      </c>
      <c r="H117" s="361">
        <f t="shared" ca="1" si="56"/>
        <v>0</v>
      </c>
      <c r="I117" s="361">
        <f t="shared" ca="1" si="57"/>
        <v>3888</v>
      </c>
      <c r="J117" s="361">
        <f t="shared" ca="1" si="58"/>
        <v>0</v>
      </c>
      <c r="K117" s="362">
        <f t="shared" ca="1" si="59"/>
        <v>3888</v>
      </c>
    </row>
    <row r="118" spans="2:13">
      <c r="B118" s="520">
        <v>7</v>
      </c>
      <c r="C118" s="522" t="s">
        <v>119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23">
        <f>F111*2</f>
        <v>2</v>
      </c>
      <c r="G118" s="360">
        <f ca="1">IF(ISERROR(OFFSET('HARGA SATUAN'!$I$6,MATCH(RAB!C118,'HARGA SATUAN'!$C$7:$C$1492,0),0)),0,OFFSET('HARGA SATUAN'!$I$6,MATCH(RAB!C118,'HARGA SATUAN'!$C$7:$C$1492,0),0))</f>
        <v>8900</v>
      </c>
      <c r="H118" s="361">
        <f t="shared" ca="1" si="56"/>
        <v>0</v>
      </c>
      <c r="I118" s="361">
        <f t="shared" ca="1" si="57"/>
        <v>17800</v>
      </c>
      <c r="J118" s="361">
        <f t="shared" ca="1" si="58"/>
        <v>0</v>
      </c>
      <c r="K118" s="362">
        <f t="shared" ca="1" si="59"/>
        <v>17800</v>
      </c>
    </row>
    <row r="119" spans="2:13">
      <c r="B119" s="374"/>
      <c r="C119" s="509"/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/>
      </c>
      <c r="F119" s="368"/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56"/>
        <v>0</v>
      </c>
      <c r="I119" s="361">
        <f t="shared" ca="1" si="57"/>
        <v>0</v>
      </c>
      <c r="J119" s="361">
        <f t="shared" ca="1" si="58"/>
        <v>0</v>
      </c>
      <c r="K119" s="362">
        <f t="shared" ca="1" si="59"/>
        <v>0</v>
      </c>
    </row>
    <row r="120" spans="2:13">
      <c r="B120" s="366" t="s">
        <v>22</v>
      </c>
      <c r="C120" s="367" t="s">
        <v>1611</v>
      </c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368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56"/>
        <v>0</v>
      </c>
      <c r="I120" s="361">
        <f t="shared" ca="1" si="57"/>
        <v>0</v>
      </c>
      <c r="J120" s="361">
        <f t="shared" ca="1" si="58"/>
        <v>0</v>
      </c>
      <c r="K120" s="362">
        <f t="shared" ca="1" si="59"/>
        <v>0</v>
      </c>
    </row>
    <row r="121" spans="2:13">
      <c r="B121" s="374"/>
      <c r="C121" s="373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368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56"/>
        <v>0</v>
      </c>
      <c r="I121" s="361">
        <f t="shared" ca="1" si="57"/>
        <v>0</v>
      </c>
      <c r="J121" s="361">
        <f t="shared" ca="1" si="58"/>
        <v>0</v>
      </c>
      <c r="K121" s="362">
        <f t="shared" ca="1" si="59"/>
        <v>0</v>
      </c>
    </row>
    <row r="122" spans="2:13">
      <c r="B122" s="375"/>
      <c r="C122" s="376" t="s">
        <v>475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368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56"/>
        <v>0</v>
      </c>
      <c r="I122" s="361">
        <f t="shared" ca="1" si="57"/>
        <v>0</v>
      </c>
      <c r="J122" s="361">
        <f t="shared" ca="1" si="58"/>
        <v>0</v>
      </c>
      <c r="K122" s="362">
        <f t="shared" ca="1" si="59"/>
        <v>0</v>
      </c>
    </row>
    <row r="123" spans="2:13">
      <c r="B123" s="378">
        <v>1</v>
      </c>
      <c r="C123" s="379" t="s">
        <v>1091</v>
      </c>
      <c r="D123" s="380" t="str">
        <f ca="1">IF(ISERROR(OFFSET('HARGA SATUAN'!$D$6,MATCH(RAB!C123,'HARGA SATUAN'!$C$7:$C$1492,0),0)),"",OFFSET('HARGA SATUAN'!$D$6,MATCH(RAB!C123,'HARGA SATUAN'!$C$7:$C$1492,0),0))</f>
        <v>JASA</v>
      </c>
      <c r="E123" s="381" t="str">
        <f ca="1">IF(ISERROR(OFFSET('HARGA SATUAN'!$E$6,MATCH(RAB!C123,'HARGA SATUAN'!$C$7:$C$1492,0),0)),"",OFFSET('HARGA SATUAN'!$E$6,MATCH(RAB!C123,'HARGA SATUAN'!$C$7:$C$1492,0),0))</f>
        <v>Lot</v>
      </c>
      <c r="F123" s="382">
        <v>1</v>
      </c>
      <c r="G123" s="383">
        <f ca="1">IF(ISERROR(OFFSET('HARGA SATUAN'!$I$6,MATCH(RAB!C123,'HARGA SATUAN'!$C$7:$C$1492,0),0)),0,OFFSET('HARGA SATUAN'!$I$6,MATCH(RAB!C123,'HARGA SATUAN'!$C$7:$C$1492,0),0))</f>
        <v>2.5000000000000001E-2</v>
      </c>
      <c r="H123" s="384"/>
      <c r="I123" s="384"/>
      <c r="J123" s="384">
        <f ca="1">SUM(K15:K21)*G123</f>
        <v>440755</v>
      </c>
      <c r="K123" s="385">
        <f ca="1">SUM(H123:J123)</f>
        <v>440755</v>
      </c>
    </row>
    <row r="124" spans="2:13">
      <c r="B124" s="386"/>
      <c r="C124" s="387"/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IF(ISERROR(OFFSET('HARGA SATUAN'!$E$6,MATCH(RAB!C124,'HARGA SATUAN'!$C$7:$C$1492,0),0)),"",OFFSET('HARGA SATUAN'!$E$6,MATCH(RAB!C124,'HARGA SATUAN'!$C$7:$C$1492,0),0))</f>
        <v/>
      </c>
      <c r="F124" s="377"/>
      <c r="G124" s="360" t="str">
        <f ca="1">IF(ISERROR(OFFSET('HARGA SATUAN'!$I$6,MATCH(RAB!C124,'HARGA SATUAN'!$C$7:$C$1492,0),0)),"",OFFSET('HARGA SATUAN'!$I$6,MATCH(RAB!C124,'HARGA SATUAN'!$C$7:$C$1492,0),0))</f>
        <v/>
      </c>
      <c r="H124" s="361">
        <f ca="1">IF(OR(D124="MDU",D124="MDU-KD"),IF(G124="PLN",0,G124*F124),0)</f>
        <v>0</v>
      </c>
      <c r="I124" s="361">
        <f ca="1">IF(D124="HDW",IF(G124="PLN",0,G124*F124),0)</f>
        <v>0</v>
      </c>
      <c r="J124" s="361">
        <f ca="1">IF(D124="JASA",IF(G124="PLN",0,G124*F124),0)</f>
        <v>0</v>
      </c>
      <c r="K124" s="362">
        <f ca="1">SUM(H124:J124)</f>
        <v>0</v>
      </c>
    </row>
    <row r="125" spans="2:13" ht="15.75" thickBot="1">
      <c r="B125" s="388"/>
      <c r="C125" s="389"/>
      <c r="D125" s="390"/>
      <c r="E125" s="391"/>
      <c r="F125" s="391"/>
      <c r="G125" s="391"/>
      <c r="H125" s="392"/>
      <c r="I125" s="392"/>
      <c r="J125" s="392"/>
      <c r="K125" s="393"/>
    </row>
    <row r="126" spans="2:13">
      <c r="B126" s="394"/>
      <c r="C126" s="629" t="s">
        <v>1008</v>
      </c>
      <c r="D126" s="629"/>
      <c r="E126" s="629"/>
      <c r="F126" s="629"/>
      <c r="G126" s="395" t="s">
        <v>9</v>
      </c>
      <c r="H126" s="396">
        <f ca="1">SUM(H14:H124)</f>
        <v>37702650</v>
      </c>
      <c r="I126" s="396">
        <f ca="1">SUM(I14:I124)</f>
        <v>21911341.239999998</v>
      </c>
      <c r="J126" s="396">
        <f ca="1">SUM(J14:J124)</f>
        <v>1641155</v>
      </c>
      <c r="K126" s="396">
        <f ca="1">SUM(K14:K124)</f>
        <v>61255146.239999995</v>
      </c>
    </row>
    <row r="127" spans="2:13">
      <c r="B127" s="398"/>
      <c r="C127" s="645" t="s">
        <v>1457</v>
      </c>
      <c r="D127" s="645"/>
      <c r="E127" s="645"/>
      <c r="F127" s="645"/>
      <c r="G127" s="399" t="s">
        <v>9</v>
      </c>
      <c r="H127" s="400">
        <f ca="1">H126*0.11</f>
        <v>4147291.5</v>
      </c>
      <c r="I127" s="400">
        <f ca="1">I126*0.11</f>
        <v>2410247.5363999996</v>
      </c>
      <c r="J127" s="400">
        <f ca="1">J126*0.11</f>
        <v>180527.05</v>
      </c>
      <c r="K127" s="400">
        <f ca="1">K126*0.11</f>
        <v>6738066.0863999994</v>
      </c>
    </row>
    <row r="128" spans="2:13" ht="15.75" thickBot="1">
      <c r="B128" s="398"/>
      <c r="C128" s="643" t="s">
        <v>463</v>
      </c>
      <c r="D128" s="643"/>
      <c r="E128" s="643"/>
      <c r="F128" s="643"/>
      <c r="G128" s="401" t="s">
        <v>9</v>
      </c>
      <c r="H128" s="402">
        <f ca="1">SUM(H126:H127)</f>
        <v>41849941.5</v>
      </c>
      <c r="I128" s="402">
        <f ca="1">SUM(I126:I127)</f>
        <v>24321588.7764</v>
      </c>
      <c r="J128" s="401">
        <f ca="1">SUM(J126:J127)</f>
        <v>1821682.05</v>
      </c>
      <c r="K128" s="401">
        <f ca="1">SUM(K126:K127)</f>
        <v>67993212.326399997</v>
      </c>
      <c r="M128" s="484"/>
    </row>
    <row r="129" spans="2:11">
      <c r="B129" s="646" t="str">
        <f ca="1">"Terbilang : "&amp;PROPER(IF(K128=0,"nol",IF(K128&lt;0,"minus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IF(--MID(TEXT(ABS(K128),"000000000000000"),1,3)=0,"",MID(TEXT(ABS(K128),"000000000000000"),1,1)&amp;" ratus "&amp;MID(TEXT(ABS(K128),"000000000000000"),2,1)&amp;" puluh "&amp;MID(TEXT(ABS(K128),"000000000000000"),3,1)&amp;" trilyun ")&amp; IF(--MID(TEXT(ABS(K128),"000000000000000"),4,3)=0,"",MID(TEXT(ABS(K128),"000000000000000"),4,1)&amp;" ratus "&amp;MID(TEXT(ABS(K128),"000000000000000"),5,1)&amp;" puluh "&amp;MID(TEXT(ABS(K128),"000000000000000"),6,1)&amp;" milyar ")&amp; IF(--MID(TEXT(ABS(K128),"000000000000000"),7,3)=0,"",MID(TEXT(ABS(K128),"000000000000000"),7,1)&amp;" ratus "&amp;MID(TEXT(ABS(K128),"000000000000000"),8,1)&amp;" puluh "&amp;MID(TEXT(ABS(K128),"000000000000000"),9,1)&amp;" juta ")&amp; IF(--MID(TEXT(ABS(K128),"000000000000000"),10,3)=0,"",IF(--MID(TEXT(ABS(K128),"000000000000000"),10,3)=1,"*",MID(TEXT(ABS(K128),"000000000000000"),10,1)&amp;" ratus "&amp;MID(TEXT(ABS(K128),"000000000000000"),11,1)&amp;" puluh ")&amp;MID(TEXT(ABS(K128),"000000000000000"),12,1)&amp;" ribu ")&amp; IF(--MID(TEXT(ABS(K128),"000000000000000"),13,3)=0,"",MID(TEXT(ABS(K128),"000000000000000"),13,1)&amp;" ratus "&amp;MID(TEXT(ABS(K128),"000000000000000"),14,1)&amp;" puluh "&amp;MID(TEXT(ABS(K128),"000000000000000"),15,1)),1,"satu"),2,"dua"),3,"tiga"),4,"empat"),5,"lima"),6,"enam"),7,"tujuh"),8,"delapan"),9,"sembilan"),"0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Tujuh Juta Sembilan Ratus Sembilan Puluh Tiga Ribu Dua Ratus Dua Belas Rupiah</v>
      </c>
      <c r="C129" s="647"/>
      <c r="D129" s="647"/>
      <c r="E129" s="647"/>
      <c r="F129" s="647"/>
      <c r="G129" s="647"/>
      <c r="H129" s="647"/>
      <c r="I129" s="647"/>
      <c r="J129" s="647"/>
      <c r="K129" s="648"/>
    </row>
    <row r="130" spans="2:11">
      <c r="B130" s="649"/>
      <c r="C130" s="650"/>
      <c r="D130" s="650"/>
      <c r="E130" s="650"/>
      <c r="F130" s="650"/>
      <c r="G130" s="650"/>
      <c r="H130" s="650"/>
      <c r="I130" s="650"/>
      <c r="J130" s="650"/>
      <c r="K130" s="651"/>
    </row>
    <row r="131" spans="2:11" ht="15.75" thickBot="1">
      <c r="B131" s="403" t="str">
        <f>"Harga yang dipakai adalah "&amp;'HARGA SATUAN'!I5&amp;""</f>
        <v>Harga yang dipakai adalah RAB HSS 2023</v>
      </c>
      <c r="C131" s="404"/>
      <c r="D131" s="405"/>
      <c r="E131" s="405"/>
      <c r="F131" s="405"/>
      <c r="G131" s="406"/>
      <c r="H131" s="406"/>
      <c r="I131" s="406"/>
      <c r="J131" s="406"/>
      <c r="K131" s="407"/>
    </row>
    <row r="132" spans="2:11">
      <c r="C132" s="408"/>
      <c r="E132" s="410"/>
      <c r="F132" s="410"/>
      <c r="G132" s="410"/>
    </row>
    <row r="133" spans="2:11">
      <c r="C133" s="337"/>
      <c r="E133" s="410"/>
      <c r="F133" s="410"/>
      <c r="G133" s="410"/>
      <c r="H133" s="652"/>
      <c r="I133" s="652"/>
      <c r="J133" s="653"/>
      <c r="K133" s="653"/>
    </row>
    <row r="134" spans="2:11">
      <c r="C134" s="337"/>
      <c r="E134" s="410"/>
      <c r="F134" s="410"/>
      <c r="G134" s="410"/>
      <c r="H134" s="411"/>
      <c r="I134" s="642" t="s">
        <v>1638</v>
      </c>
      <c r="J134" s="642"/>
      <c r="K134" s="642"/>
    </row>
    <row r="135" spans="2:11">
      <c r="C135" s="337"/>
      <c r="E135" s="410"/>
      <c r="F135" s="410"/>
      <c r="G135" s="410"/>
      <c r="H135" s="411"/>
      <c r="I135" s="642" t="s">
        <v>1639</v>
      </c>
      <c r="J135" s="642"/>
      <c r="K135" s="642"/>
    </row>
    <row r="136" spans="2:11">
      <c r="C136" s="337"/>
      <c r="E136" s="410"/>
      <c r="F136" s="410"/>
      <c r="G136" s="410"/>
      <c r="H136" s="412"/>
      <c r="I136" s="413"/>
      <c r="J136" s="413"/>
      <c r="K136" s="413"/>
    </row>
    <row r="137" spans="2:11">
      <c r="C137" s="337"/>
      <c r="E137" s="410"/>
      <c r="F137" s="410"/>
      <c r="G137" s="410"/>
      <c r="H137" s="412"/>
      <c r="I137" s="412"/>
      <c r="J137" s="412"/>
      <c r="K137" s="412"/>
    </row>
    <row r="138" spans="2:11">
      <c r="C138" s="337"/>
      <c r="E138" s="410"/>
      <c r="F138" s="410"/>
      <c r="G138" s="410"/>
      <c r="H138" s="412"/>
      <c r="I138" s="412"/>
      <c r="J138" s="412"/>
      <c r="K138" s="412"/>
    </row>
    <row r="139" spans="2:11">
      <c r="C139" s="337"/>
      <c r="E139" s="410"/>
      <c r="F139" s="410"/>
      <c r="G139" s="410"/>
      <c r="H139" s="412"/>
      <c r="I139" s="412"/>
      <c r="J139" s="412"/>
      <c r="K139" s="412"/>
    </row>
    <row r="140" spans="2:11">
      <c r="C140" s="337"/>
      <c r="E140" s="410"/>
      <c r="F140" s="410"/>
      <c r="G140" s="410"/>
      <c r="H140" s="414"/>
      <c r="I140" s="642" t="s">
        <v>1640</v>
      </c>
      <c r="J140" s="642"/>
      <c r="K140" s="642"/>
    </row>
    <row r="141" spans="2:11">
      <c r="C141" s="408"/>
      <c r="E141" s="410"/>
      <c r="F141" s="410"/>
      <c r="G141" s="410"/>
      <c r="H141" s="412"/>
      <c r="I141" s="412"/>
      <c r="J141" s="412"/>
      <c r="K141" s="412"/>
    </row>
    <row r="142" spans="2:11">
      <c r="C142" s="408"/>
      <c r="E142" s="410"/>
      <c r="F142" s="410"/>
      <c r="G142" s="410"/>
      <c r="H142" s="412"/>
      <c r="I142" s="412"/>
      <c r="J142" s="412"/>
      <c r="K142" s="412"/>
    </row>
    <row r="143" spans="2:11">
      <c r="C143" s="408"/>
      <c r="E143" s="410"/>
      <c r="F143" s="410"/>
      <c r="G143" s="410"/>
      <c r="H143" s="412"/>
      <c r="I143" s="412"/>
      <c r="J143" s="412"/>
      <c r="K143" s="412"/>
    </row>
  </sheetData>
  <sheetProtection sort="0" autoFilter="0"/>
  <protectedRanges>
    <protectedRange sqref="B121 B104:B119" name="Range1_1"/>
    <protectedRange sqref="F47:F62 F103:F122 F68:F70 F77 F14:F45" name="Range1_1_2_2"/>
    <protectedRange sqref="C121 C104:C107 C109:C119" name="Range1_1_1"/>
    <protectedRange sqref="B91 B80:C81 B86 B102:C103 B82 B79 B70:C70 B83:C85 B87:C90 B77:C78" name="Range1_6_2"/>
    <protectedRange sqref="C91" name="Range1_1_3_2"/>
    <protectedRange sqref="C86" name="Range1_1_3_3"/>
    <protectedRange sqref="C82" name="Range1_1_3_10"/>
    <protectedRange sqref="C108" name="Range1_1_3_13"/>
    <protectedRange sqref="C17" name="Range1_1_3_14"/>
    <protectedRange sqref="C18:C20" name="Range1_1_3"/>
    <protectedRange sqref="C79" name="Range1_1_3_1"/>
    <protectedRange sqref="G46" name="Range1_3_7"/>
    <protectedRange sqref="C46" name="Range1_1_3_5"/>
    <protectedRange sqref="C45" name="Range1_1_3_6"/>
  </protectedRanges>
  <mergeCells count="22">
    <mergeCell ref="I135:K135"/>
    <mergeCell ref="I140:K140"/>
    <mergeCell ref="C128:F128"/>
    <mergeCell ref="G6:K6"/>
    <mergeCell ref="I134:K134"/>
    <mergeCell ref="C127:F127"/>
    <mergeCell ref="B129:K130"/>
    <mergeCell ref="H133:K133"/>
    <mergeCell ref="H11:K11"/>
    <mergeCell ref="H12:H13"/>
    <mergeCell ref="J12:J13"/>
    <mergeCell ref="K12:K13"/>
    <mergeCell ref="O3:P4"/>
    <mergeCell ref="B4:K4"/>
    <mergeCell ref="C126:F126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91 C17:C21">
    <cfRule type="cellIs" dxfId="14" priority="497" operator="equal">
      <formula>0</formula>
    </cfRule>
  </conditionalFormatting>
  <conditionalFormatting sqref="C45:C46">
    <cfRule type="cellIs" dxfId="13" priority="15" operator="equal">
      <formula>0</formula>
    </cfRule>
  </conditionalFormatting>
  <conditionalFormatting sqref="C69">
    <cfRule type="cellIs" dxfId="12" priority="122" operator="equal">
      <formula>0</formula>
    </cfRule>
  </conditionalFormatting>
  <conditionalFormatting sqref="C73">
    <cfRule type="cellIs" dxfId="11" priority="6" operator="equal">
      <formula>0</formula>
    </cfRule>
  </conditionalFormatting>
  <conditionalFormatting sqref="C75">
    <cfRule type="cellIs" dxfId="10" priority="7" operator="equal">
      <formula>0</formula>
    </cfRule>
  </conditionalFormatting>
  <conditionalFormatting sqref="C117">
    <cfRule type="cellIs" dxfId="9" priority="13" operator="equal">
      <formula>0</formula>
    </cfRule>
  </conditionalFormatting>
  <conditionalFormatting sqref="C120">
    <cfRule type="cellIs" dxfId="8" priority="120" operator="equal">
      <formula>0</formula>
    </cfRule>
  </conditionalFormatting>
  <conditionalFormatting sqref="D46:G46">
    <cfRule type="cellIs" dxfId="7" priority="23" operator="equal">
      <formula>0</formula>
    </cfRule>
  </conditionalFormatting>
  <conditionalFormatting sqref="E1:E3 G1:G13 E5:E13 H12:I12 O13 H46:K46 E78:E90 G78:K90 E123:G123 H123:K125 E124:H124 E125:F125 S14:V21 E14:K45">
    <cfRule type="cellIs" dxfId="6" priority="1077" stopIfTrue="1" operator="equal">
      <formula>0</formula>
    </cfRule>
  </conditionalFormatting>
  <conditionalFormatting sqref="E47:K77">
    <cfRule type="cellIs" dxfId="5" priority="4" stopIfTrue="1" operator="equal">
      <formula>0</formula>
    </cfRule>
  </conditionalFormatting>
  <conditionalFormatting sqref="E91:K104 E110:K122 E105:E109 G105:K109">
    <cfRule type="cellIs" dxfId="4" priority="10" stopIfTrue="1" operator="equal">
      <formula>0</formula>
    </cfRule>
  </conditionalFormatting>
  <conditionalFormatting sqref="F79:F90">
    <cfRule type="cellIs" dxfId="3" priority="14" stopIfTrue="1" operator="equal">
      <formula>0</formula>
    </cfRule>
  </conditionalFormatting>
  <conditionalFormatting sqref="G124:G65590 E129:E65590">
    <cfRule type="cellIs" dxfId="2" priority="211" stopIfTrue="1" operator="equal">
      <formula>0</formula>
    </cfRule>
  </conditionalFormatting>
  <conditionalFormatting sqref="C106">
    <cfRule type="cellIs" dxfId="1" priority="2" operator="equal">
      <formula>0</formula>
    </cfRule>
  </conditionalFormatting>
  <conditionalFormatting sqref="F105:F109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47:F59 C80:C82 C87:C90 F79:F102 F61:F77 H14:K125 F23:F4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6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1" zoomScaleNormal="115" zoomScaleSheetLayoutView="100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6" t="s">
        <v>1439</v>
      </c>
      <c r="X2" s="657"/>
      <c r="Y2" s="657"/>
      <c r="Z2" s="657"/>
      <c r="AA2" s="657"/>
      <c r="AB2" s="657"/>
      <c r="AC2" s="657"/>
      <c r="AD2" s="658"/>
    </row>
    <row r="3" spans="3:30">
      <c r="C3" s="238"/>
      <c r="W3" s="659"/>
      <c r="X3" s="660"/>
      <c r="Y3" s="660"/>
      <c r="Z3" s="660"/>
      <c r="AA3" s="660"/>
      <c r="AB3" s="660"/>
      <c r="AC3" s="660"/>
      <c r="AD3" s="66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2" t="s">
        <v>990</v>
      </c>
      <c r="Y5" s="662"/>
      <c r="Z5" s="662"/>
      <c r="AA5" s="662" t="s">
        <v>988</v>
      </c>
      <c r="AB5" s="662"/>
      <c r="AC5" s="662" t="s">
        <v>989</v>
      </c>
      <c r="AD5" s="663"/>
    </row>
    <row r="6" spans="3:30">
      <c r="C6" s="238"/>
      <c r="W6" s="241">
        <v>1</v>
      </c>
      <c r="X6" s="662" t="s">
        <v>993</v>
      </c>
      <c r="Y6" s="662"/>
      <c r="Z6" s="662"/>
      <c r="AA6" s="662"/>
      <c r="AB6" s="662"/>
      <c r="AC6" s="662"/>
      <c r="AD6" s="663"/>
    </row>
    <row r="7" spans="3:30">
      <c r="C7" s="238"/>
      <c r="E7" s="490" t="str">
        <f>PETA!C6</f>
        <v>KOORDINAT : -6.952386, 110.726812</v>
      </c>
      <c r="W7" s="241">
        <v>2</v>
      </c>
      <c r="X7" s="662" t="s">
        <v>994</v>
      </c>
      <c r="Y7" s="662"/>
      <c r="Z7" s="662"/>
      <c r="AA7" s="662"/>
      <c r="AB7" s="662"/>
      <c r="AC7" s="662"/>
      <c r="AD7" s="663"/>
    </row>
    <row r="8" spans="3:30">
      <c r="C8" s="238"/>
      <c r="W8" s="241">
        <v>3</v>
      </c>
      <c r="X8" s="662" t="s">
        <v>995</v>
      </c>
      <c r="Y8" s="662"/>
      <c r="Z8" s="662"/>
      <c r="AA8" s="662"/>
      <c r="AB8" s="662"/>
      <c r="AC8" s="662"/>
      <c r="AD8" s="663"/>
    </row>
    <row r="9" spans="3:30">
      <c r="C9" s="238"/>
      <c r="W9" s="241">
        <v>4</v>
      </c>
      <c r="X9" s="662" t="s">
        <v>996</v>
      </c>
      <c r="Y9" s="662"/>
      <c r="Z9" s="662"/>
      <c r="AA9" s="662"/>
      <c r="AB9" s="662"/>
      <c r="AC9" s="662"/>
      <c r="AD9" s="663"/>
    </row>
    <row r="10" spans="3:30">
      <c r="C10" s="238"/>
      <c r="W10" s="241">
        <v>5</v>
      </c>
      <c r="X10" s="662" t="s">
        <v>997</v>
      </c>
      <c r="Y10" s="662"/>
      <c r="Z10" s="662"/>
      <c r="AA10" s="662"/>
      <c r="AB10" s="662"/>
      <c r="AC10" s="662"/>
      <c r="AD10" s="663"/>
    </row>
    <row r="11" spans="3:30">
      <c r="C11" s="238"/>
      <c r="W11" s="241">
        <v>6</v>
      </c>
      <c r="X11" s="662" t="s">
        <v>998</v>
      </c>
      <c r="Y11" s="662"/>
      <c r="Z11" s="662"/>
      <c r="AA11" s="662"/>
      <c r="AB11" s="662"/>
      <c r="AC11" s="662"/>
      <c r="AD11" s="663"/>
    </row>
    <row r="12" spans="3:30">
      <c r="C12" s="238"/>
      <c r="W12" s="241">
        <v>7</v>
      </c>
      <c r="X12" s="662" t="s">
        <v>999</v>
      </c>
      <c r="Y12" s="662"/>
      <c r="Z12" s="662"/>
      <c r="AA12" s="662"/>
      <c r="AB12" s="662"/>
      <c r="AC12" s="662"/>
      <c r="AD12" s="663"/>
    </row>
    <row r="13" spans="3:30" ht="12.75" customHeight="1">
      <c r="C13" s="238"/>
      <c r="W13" s="241">
        <v>8</v>
      </c>
      <c r="X13" s="662" t="s">
        <v>1000</v>
      </c>
      <c r="Y13" s="662"/>
      <c r="Z13" s="662"/>
      <c r="AA13" s="662"/>
      <c r="AB13" s="662"/>
      <c r="AC13" s="662"/>
      <c r="AD13" s="663"/>
    </row>
    <row r="14" spans="3:30">
      <c r="C14" s="238"/>
      <c r="W14" s="241">
        <v>9</v>
      </c>
      <c r="X14" s="662" t="s">
        <v>1001</v>
      </c>
      <c r="Y14" s="662"/>
      <c r="Z14" s="662"/>
      <c r="AA14" s="662"/>
      <c r="AB14" s="662"/>
      <c r="AC14" s="662"/>
      <c r="AD14" s="663"/>
    </row>
    <row r="15" spans="3:30">
      <c r="C15" s="238"/>
      <c r="W15" s="241">
        <v>10</v>
      </c>
      <c r="X15" s="662" t="s">
        <v>1010</v>
      </c>
      <c r="Y15" s="662"/>
      <c r="Z15" s="662"/>
      <c r="AA15" s="662"/>
      <c r="AB15" s="662"/>
      <c r="AC15" s="662"/>
      <c r="AD15" s="663"/>
    </row>
    <row r="16" spans="3:30">
      <c r="C16" s="238"/>
      <c r="W16" s="241">
        <v>11</v>
      </c>
      <c r="X16" s="662" t="s">
        <v>1455</v>
      </c>
      <c r="Y16" s="662"/>
      <c r="Z16" s="662"/>
      <c r="AA16" s="662"/>
      <c r="AB16" s="662"/>
      <c r="AC16" s="662"/>
      <c r="AD16" s="663"/>
    </row>
    <row r="17" spans="3:30">
      <c r="C17" s="238"/>
      <c r="S17" s="242"/>
      <c r="W17" s="241">
        <v>12</v>
      </c>
      <c r="X17" s="662" t="s">
        <v>1011</v>
      </c>
      <c r="Y17" s="662"/>
      <c r="Z17" s="662"/>
      <c r="AA17" s="662"/>
      <c r="AB17" s="662"/>
      <c r="AC17" s="662"/>
      <c r="AD17" s="663"/>
    </row>
    <row r="18" spans="3:30">
      <c r="C18" s="243"/>
      <c r="D18" s="244"/>
      <c r="E18" s="244"/>
      <c r="W18" s="241">
        <v>13</v>
      </c>
      <c r="X18" s="662"/>
      <c r="Y18" s="662"/>
      <c r="Z18" s="662"/>
      <c r="AA18" s="662"/>
      <c r="AB18" s="662"/>
      <c r="AC18" s="662"/>
      <c r="AD18" s="663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W20" s="664" t="s">
        <v>992</v>
      </c>
      <c r="X20" s="665"/>
      <c r="Y20" s="665"/>
      <c r="Z20" s="665"/>
      <c r="AA20" s="665"/>
      <c r="AB20" s="665"/>
      <c r="AC20" s="665"/>
      <c r="AD20" s="666"/>
    </row>
    <row r="21" spans="3:30">
      <c r="C21" s="238"/>
      <c r="W21" s="667" t="s">
        <v>985</v>
      </c>
      <c r="X21" s="668"/>
      <c r="Y21" s="668"/>
      <c r="Z21" s="669"/>
      <c r="AA21" s="670" t="s">
        <v>986</v>
      </c>
      <c r="AB21" s="671"/>
      <c r="AC21" s="671"/>
      <c r="AD21" s="672"/>
    </row>
    <row r="22" spans="3:30">
      <c r="C22" s="238"/>
      <c r="W22" s="673"/>
      <c r="X22" s="674"/>
      <c r="Y22" s="492"/>
      <c r="Z22" s="493"/>
      <c r="AA22" s="675"/>
      <c r="AB22" s="676"/>
      <c r="AC22" s="248"/>
      <c r="AD22" s="249"/>
    </row>
    <row r="23" spans="3:30">
      <c r="C23" s="238"/>
      <c r="W23" s="673"/>
      <c r="X23" s="674"/>
      <c r="Y23" s="492"/>
      <c r="Z23" s="493"/>
      <c r="AA23" s="677"/>
      <c r="AB23" s="678"/>
      <c r="AC23" s="248"/>
      <c r="AD23" s="249"/>
    </row>
    <row r="24" spans="3:30">
      <c r="C24" s="238"/>
      <c r="W24" s="683"/>
      <c r="X24" s="684"/>
      <c r="Y24" s="246"/>
      <c r="Z24" s="247"/>
      <c r="AA24" s="685"/>
      <c r="AB24" s="686"/>
      <c r="AC24" s="248"/>
      <c r="AD24" s="249"/>
    </row>
    <row r="25" spans="3:30">
      <c r="C25" s="238"/>
      <c r="W25" s="683"/>
      <c r="X25" s="684"/>
      <c r="Y25" s="246"/>
      <c r="Z25" s="247"/>
      <c r="AA25" s="677"/>
      <c r="AB25" s="678"/>
      <c r="AC25" s="248"/>
      <c r="AD25" s="249"/>
    </row>
    <row r="26" spans="3:30">
      <c r="C26" s="238"/>
      <c r="W26" s="480"/>
      <c r="X26" s="481"/>
      <c r="Y26" s="246"/>
      <c r="Z26" s="247"/>
      <c r="AA26" s="677"/>
      <c r="AB26" s="678"/>
      <c r="AC26" s="248"/>
      <c r="AD26" s="249"/>
    </row>
    <row r="27" spans="3:30">
      <c r="C27" s="238"/>
      <c r="W27" s="480"/>
      <c r="X27" s="481"/>
      <c r="Y27" s="246"/>
      <c r="Z27" s="247"/>
      <c r="AA27" s="681"/>
      <c r="AB27" s="682"/>
      <c r="AC27" s="248"/>
      <c r="AD27" s="249"/>
    </row>
    <row r="28" spans="3:30">
      <c r="C28" s="238"/>
      <c r="W28" s="480"/>
      <c r="X28" s="481"/>
      <c r="Y28" s="246"/>
      <c r="Z28" s="247"/>
      <c r="AA28" s="681"/>
      <c r="AB28" s="682"/>
      <c r="AC28" s="248"/>
      <c r="AD28" s="249"/>
    </row>
    <row r="29" spans="3:30">
      <c r="C29" s="238"/>
      <c r="W29" s="480"/>
      <c r="X29" s="481"/>
      <c r="Y29" s="246"/>
      <c r="Z29" s="247"/>
      <c r="AA29" s="681"/>
      <c r="AB29" s="682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1"/>
      <c r="AB30" s="682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1"/>
      <c r="AB31" s="682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1"/>
      <c r="AB32" s="682"/>
      <c r="AC32" s="248"/>
      <c r="AD32" s="249"/>
    </row>
    <row r="33" spans="3:30">
      <c r="C33" s="238"/>
      <c r="W33" s="480"/>
      <c r="X33" s="481"/>
      <c r="Y33" s="246"/>
      <c r="Z33" s="247"/>
      <c r="AA33" s="681"/>
      <c r="AB33" s="682"/>
      <c r="AC33" s="248"/>
      <c r="AD33" s="249"/>
    </row>
    <row r="34" spans="3:30">
      <c r="C34" s="238"/>
      <c r="W34" s="480"/>
      <c r="X34" s="481"/>
      <c r="Y34" s="246"/>
      <c r="Z34" s="247"/>
      <c r="AA34" s="681"/>
      <c r="AB34" s="682"/>
      <c r="AC34" s="248"/>
      <c r="AD34" s="249"/>
    </row>
    <row r="35" spans="3:30">
      <c r="C35" s="238"/>
      <c r="W35" s="683"/>
      <c r="X35" s="696"/>
      <c r="Y35" s="246"/>
      <c r="Z35" s="247"/>
      <c r="AA35" s="681"/>
      <c r="AB35" s="682"/>
      <c r="AC35" s="248"/>
      <c r="AD35" s="249"/>
    </row>
    <row r="36" spans="3:30">
      <c r="C36" s="238"/>
      <c r="W36" s="687"/>
      <c r="X36" s="688"/>
      <c r="Y36" s="246"/>
      <c r="Z36" s="251"/>
      <c r="AA36" s="689"/>
      <c r="AB36" s="682"/>
      <c r="AC36" s="248"/>
      <c r="AD36" s="249"/>
    </row>
    <row r="37" spans="3:30" ht="12.75" customHeight="1">
      <c r="C37" s="238"/>
      <c r="W37" s="690"/>
      <c r="X37" s="691"/>
      <c r="Y37" s="246"/>
      <c r="Z37" s="251"/>
      <c r="AA37" s="692"/>
      <c r="AB37" s="693"/>
      <c r="AC37" s="252"/>
      <c r="AD37" s="253"/>
    </row>
    <row r="38" spans="3:30" ht="12.75" customHeight="1">
      <c r="C38" s="238"/>
      <c r="W38" s="690"/>
      <c r="X38" s="69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90"/>
      <c r="X39" s="691"/>
      <c r="Y39" s="254"/>
      <c r="Z39" s="257"/>
      <c r="AA39" s="694"/>
      <c r="AB39" s="695"/>
      <c r="AC39" s="252"/>
      <c r="AD39" s="253"/>
    </row>
    <row r="40" spans="3:30" ht="12" customHeight="1">
      <c r="C40" s="238"/>
      <c r="W40" s="700"/>
      <c r="X40" s="70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2"/>
      <c r="X41" s="703"/>
      <c r="Y41" s="260"/>
      <c r="Z41" s="261"/>
      <c r="AA41" s="694"/>
      <c r="AB41" s="695"/>
      <c r="AC41" s="252"/>
      <c r="AD41" s="253"/>
    </row>
    <row r="42" spans="3:30" ht="12" customHeight="1">
      <c r="C42" s="238"/>
      <c r="W42" s="704" t="s">
        <v>1456</v>
      </c>
      <c r="X42" s="705"/>
      <c r="Y42" s="705"/>
      <c r="Z42" s="70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7" t="s">
        <v>11</v>
      </c>
      <c r="X44" s="698"/>
      <c r="Y44" s="662"/>
      <c r="Z44" s="662"/>
      <c r="AA44" s="662"/>
      <c r="AB44" s="662"/>
      <c r="AC44" s="662"/>
      <c r="AD44" s="66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7" t="s">
        <v>984</v>
      </c>
      <c r="X45" s="698"/>
      <c r="Y45" s="662">
        <v>1</v>
      </c>
      <c r="Z45" s="662"/>
      <c r="AA45" s="662"/>
      <c r="AB45" s="662" t="s">
        <v>12</v>
      </c>
      <c r="AC45" s="66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7" t="s">
        <v>15</v>
      </c>
      <c r="X46" s="698"/>
      <c r="Y46" s="699"/>
      <c r="Z46" s="699"/>
      <c r="AA46" s="699"/>
      <c r="AB46" s="662" t="s">
        <v>16</v>
      </c>
      <c r="AC46" s="66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2" t="str">
        <f>RAB!G6</f>
        <v xml:space="preserve">MASY. DESA BALEROMO </v>
      </c>
      <c r="X48" s="712"/>
      <c r="Y48" s="712"/>
      <c r="Z48" s="712"/>
      <c r="AA48" s="712"/>
      <c r="AB48" s="712"/>
      <c r="AC48" s="712"/>
      <c r="AD48" s="71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7" t="s">
        <v>18</v>
      </c>
      <c r="X52" s="698"/>
      <c r="Y52" s="662" t="s">
        <v>1634</v>
      </c>
      <c r="Z52" s="662"/>
      <c r="AA52" s="662"/>
      <c r="AB52" s="662"/>
      <c r="AC52" s="662"/>
      <c r="AD52" s="66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7" t="s">
        <v>19</v>
      </c>
      <c r="X53" s="698"/>
      <c r="Y53" s="662" t="s">
        <v>1635</v>
      </c>
      <c r="Z53" s="662"/>
      <c r="AA53" s="662"/>
      <c r="AB53" s="662"/>
      <c r="AC53" s="662"/>
      <c r="AD53" s="66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7" t="s">
        <v>20</v>
      </c>
      <c r="X54" s="698"/>
      <c r="Y54" s="706" t="s">
        <v>1636</v>
      </c>
      <c r="Z54" s="706"/>
      <c r="AA54" s="706"/>
      <c r="AB54" s="662"/>
      <c r="AC54" s="662"/>
      <c r="AD54" s="66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7" t="s">
        <v>21</v>
      </c>
      <c r="X55" s="708"/>
      <c r="Y55" s="706" t="s">
        <v>1637</v>
      </c>
      <c r="Z55" s="706"/>
      <c r="AA55" s="706"/>
      <c r="AB55" s="706"/>
      <c r="AC55" s="706"/>
      <c r="AD55" s="70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6" t="s">
        <v>1528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17"/>
      <c r="AE4" s="216"/>
      <c r="AF4" s="216"/>
    </row>
    <row r="5" spans="2:32" ht="13.5" customHeight="1">
      <c r="B5" s="215"/>
      <c r="C5" s="215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17"/>
      <c r="AE5" s="216"/>
      <c r="AF5" s="216"/>
    </row>
    <row r="6" spans="2:32" ht="12.75" customHeight="1">
      <c r="B6" s="215"/>
      <c r="C6" s="215"/>
      <c r="D6" s="719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1"/>
      <c r="AE6" s="216"/>
      <c r="AF6" s="216"/>
    </row>
    <row r="7" spans="2:32" ht="12.75" customHeight="1" thickBot="1">
      <c r="B7" s="215"/>
      <c r="C7" s="215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0" t="s">
        <v>1527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5" t="s">
        <v>1630</v>
      </c>
      <c r="D6" s="725"/>
      <c r="E6" s="725"/>
      <c r="F6" s="725"/>
      <c r="G6" s="725"/>
      <c r="H6" s="725"/>
      <c r="I6" s="725"/>
      <c r="J6" s="725"/>
      <c r="K6" s="725"/>
      <c r="L6" s="725"/>
      <c r="M6" s="725"/>
      <c r="W6" s="182"/>
      <c r="Y6" s="428"/>
      <c r="Z6" s="428"/>
      <c r="AA6" s="428"/>
      <c r="AB6" s="429"/>
      <c r="AC6" s="429"/>
    </row>
    <row r="7" spans="1:29" ht="18" customHeight="1">
      <c r="A7" s="181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2024-02-21T13:25:20Z</dcterms:modified>
</cp:coreProperties>
</file>