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DES\NUR WACHID ANWAR\"/>
    </mc:Choice>
  </mc:AlternateContent>
  <xr:revisionPtr revIDLastSave="0" documentId="13_ncr:1_{E9C21086-44D2-4073-9FEB-2D00500ECD3B}" xr6:coauthVersionLast="47" xr6:coauthVersionMax="47" xr10:uidLastSave="{00000000-0000-0000-0000-000000000000}"/>
  <bookViews>
    <workbookView xWindow="-120" yWindow="-120" windowWidth="24240" windowHeight="131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84" i="11"/>
  <c r="F83" i="11"/>
  <c r="F82" i="11"/>
  <c r="F81" i="11"/>
  <c r="F80" i="11"/>
  <c r="F77" i="11"/>
  <c r="F76" i="11"/>
  <c r="F75" i="11"/>
  <c r="F74" i="11"/>
  <c r="F73" i="11"/>
  <c r="F72" i="11"/>
  <c r="F71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6" i="11"/>
  <c r="G87" i="11"/>
  <c r="G88" i="11"/>
  <c r="D69" i="11"/>
  <c r="H69" i="11" s="1"/>
  <c r="E69" i="11"/>
  <c r="D70" i="11"/>
  <c r="J70" i="11" s="1"/>
  <c r="E70" i="11"/>
  <c r="D71" i="11"/>
  <c r="E71" i="11"/>
  <c r="D72" i="11"/>
  <c r="H72" i="11" s="1"/>
  <c r="E72" i="11"/>
  <c r="D73" i="11"/>
  <c r="H73" i="11" s="1"/>
  <c r="E73" i="11"/>
  <c r="D74" i="11"/>
  <c r="J74" i="11" s="1"/>
  <c r="E74" i="11"/>
  <c r="D75" i="11"/>
  <c r="E75" i="11"/>
  <c r="D76" i="11"/>
  <c r="H76" i="11" s="1"/>
  <c r="E76" i="11"/>
  <c r="D77" i="11"/>
  <c r="H77" i="11" s="1"/>
  <c r="E77" i="11"/>
  <c r="D78" i="11"/>
  <c r="J78" i="11" s="1"/>
  <c r="E78" i="11"/>
  <c r="D79" i="11"/>
  <c r="I79" i="11" s="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6" i="11"/>
  <c r="J86" i="11" s="1"/>
  <c r="E86" i="11"/>
  <c r="D87" i="11"/>
  <c r="J87" i="11" s="1"/>
  <c r="E87" i="11"/>
  <c r="F68" i="11"/>
  <c r="F67" i="11"/>
  <c r="F66" i="11"/>
  <c r="F65" i="11"/>
  <c r="F59" i="11"/>
  <c r="F58" i="11"/>
  <c r="F57" i="11"/>
  <c r="F56" i="11"/>
  <c r="F53" i="11"/>
  <c r="F52" i="11"/>
  <c r="F51" i="11"/>
  <c r="F50" i="11"/>
  <c r="F47" i="11"/>
  <c r="F46" i="11"/>
  <c r="F45" i="11"/>
  <c r="F44" i="11"/>
  <c r="F43" i="11"/>
  <c r="F42" i="11"/>
  <c r="F36" i="11"/>
  <c r="F35" i="11"/>
  <c r="F34" i="11"/>
  <c r="F33" i="11"/>
  <c r="F32" i="11"/>
  <c r="F29" i="11"/>
  <c r="F28" i="11"/>
  <c r="F27" i="11"/>
  <c r="F26" i="11"/>
  <c r="F25" i="11"/>
  <c r="I83" i="11" l="1"/>
  <c r="I75" i="11"/>
  <c r="I74" i="11"/>
  <c r="I87" i="11"/>
  <c r="I70" i="11"/>
  <c r="I82" i="11"/>
  <c r="I71" i="11"/>
  <c r="I78" i="11"/>
  <c r="H83" i="11"/>
  <c r="J81" i="11"/>
  <c r="H79" i="11"/>
  <c r="J77" i="11"/>
  <c r="H87" i="11"/>
  <c r="I86" i="11"/>
  <c r="J84" i="11"/>
  <c r="H82" i="11"/>
  <c r="I81" i="11"/>
  <c r="J80" i="11"/>
  <c r="H78" i="11"/>
  <c r="I77" i="11"/>
  <c r="K77" i="11" s="1"/>
  <c r="J76" i="11"/>
  <c r="H74" i="11"/>
  <c r="I73" i="11"/>
  <c r="J72" i="11"/>
  <c r="H70" i="11"/>
  <c r="K70" i="11" s="1"/>
  <c r="I69" i="11"/>
  <c r="H75" i="11"/>
  <c r="J73" i="11"/>
  <c r="H71" i="11"/>
  <c r="J69" i="11"/>
  <c r="H86" i="11"/>
  <c r="I84" i="11"/>
  <c r="K84" i="11" s="1"/>
  <c r="J83" i="11"/>
  <c r="I80" i="11"/>
  <c r="K80" i="11" s="1"/>
  <c r="J79" i="11"/>
  <c r="I76" i="11"/>
  <c r="J75" i="11"/>
  <c r="I72" i="11"/>
  <c r="J71" i="11"/>
  <c r="K74" i="11" l="1"/>
  <c r="K72" i="11"/>
  <c r="K69" i="11"/>
  <c r="K76" i="11"/>
  <c r="K82" i="11"/>
  <c r="K73" i="11"/>
  <c r="K81" i="11"/>
  <c r="K87" i="11"/>
  <c r="K86" i="11"/>
  <c r="K78" i="11"/>
  <c r="K75" i="11"/>
  <c r="K79" i="11"/>
  <c r="K71" i="11"/>
  <c r="K83" i="11"/>
  <c r="F18" i="11" l="1"/>
  <c r="E7" i="64" l="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E53" i="11"/>
  <c r="G53" i="11"/>
  <c r="D54" i="11"/>
  <c r="H54" i="11" s="1"/>
  <c r="E54" i="11"/>
  <c r="G54" i="11"/>
  <c r="D55" i="11"/>
  <c r="J55" i="11" s="1"/>
  <c r="E55" i="11"/>
  <c r="G55" i="11"/>
  <c r="F39" i="11"/>
  <c r="J62" i="11" l="1"/>
  <c r="I60" i="11"/>
  <c r="H56" i="11"/>
  <c r="J58" i="11"/>
  <c r="I56" i="11"/>
  <c r="I47" i="11"/>
  <c r="H60" i="11"/>
  <c r="J59" i="11"/>
  <c r="J49" i="11"/>
  <c r="I62" i="11"/>
  <c r="I61" i="11"/>
  <c r="I59" i="11"/>
  <c r="I58" i="11"/>
  <c r="I57" i="11"/>
  <c r="J53" i="11"/>
  <c r="H61" i="11"/>
  <c r="H57" i="11"/>
  <c r="I55" i="11"/>
  <c r="I49" i="11"/>
  <c r="J47" i="11"/>
  <c r="I53" i="11"/>
  <c r="H55" i="11"/>
  <c r="I50" i="11"/>
  <c r="I54" i="11"/>
  <c r="H53" i="11"/>
  <c r="I52" i="11"/>
  <c r="I51" i="11"/>
  <c r="J54" i="11"/>
  <c r="H50" i="11"/>
  <c r="H51" i="11"/>
  <c r="I48" i="11"/>
  <c r="H52" i="11"/>
  <c r="H48" i="11"/>
  <c r="K60" i="11" l="1"/>
  <c r="K59" i="11"/>
  <c r="K62" i="11"/>
  <c r="K58" i="11"/>
  <c r="K61" i="11"/>
  <c r="K56" i="11"/>
  <c r="K51" i="11"/>
  <c r="K57" i="11"/>
  <c r="K47" i="11"/>
  <c r="K49" i="11"/>
  <c r="K55" i="11"/>
  <c r="K53" i="11"/>
  <c r="K48" i="11"/>
  <c r="K54" i="11"/>
  <c r="K50" i="11"/>
  <c r="K52" i="11"/>
  <c r="D22" i="11" l="1"/>
  <c r="H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G38" i="11"/>
  <c r="D39" i="1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J46" i="11" s="1"/>
  <c r="E46" i="11"/>
  <c r="G46" i="11"/>
  <c r="G18" i="11"/>
  <c r="G19" i="11"/>
  <c r="G20" i="11"/>
  <c r="G21" i="11"/>
  <c r="D18" i="11"/>
  <c r="E18" i="11"/>
  <c r="D19" i="11"/>
  <c r="H19" i="11" s="1"/>
  <c r="E19" i="11"/>
  <c r="D20" i="11"/>
  <c r="H20" i="11" s="1"/>
  <c r="E20" i="11"/>
  <c r="D21" i="11"/>
  <c r="J21" i="11" s="1"/>
  <c r="E21" i="11"/>
  <c r="D64" i="11"/>
  <c r="D65" i="11"/>
  <c r="D66" i="11"/>
  <c r="D67" i="11"/>
  <c r="D68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J18" i="11" l="1"/>
  <c r="I34" i="11"/>
  <c r="J39" i="11"/>
  <c r="J40" i="11"/>
  <c r="J36" i="11"/>
  <c r="J22" i="11"/>
  <c r="J44" i="11"/>
  <c r="I24" i="11"/>
  <c r="I22" i="11"/>
  <c r="J34" i="11"/>
  <c r="K34" i="11" s="1"/>
  <c r="I44" i="11"/>
  <c r="I38" i="11"/>
  <c r="J33" i="11"/>
  <c r="I32" i="11"/>
  <c r="J41" i="11"/>
  <c r="I36" i="11"/>
  <c r="I35" i="11"/>
  <c r="I28" i="11"/>
  <c r="H38" i="11"/>
  <c r="J37" i="11"/>
  <c r="I26" i="11"/>
  <c r="I45" i="11"/>
  <c r="I40" i="11"/>
  <c r="I39" i="11"/>
  <c r="I30" i="11"/>
  <c r="H45" i="11"/>
  <c r="I41" i="11"/>
  <c r="K41" i="11" s="1"/>
  <c r="I37" i="11"/>
  <c r="I33" i="11"/>
  <c r="J32" i="11"/>
  <c r="H30" i="11"/>
  <c r="I29" i="11"/>
  <c r="J28" i="11"/>
  <c r="H26" i="11"/>
  <c r="I25" i="11"/>
  <c r="J24" i="11"/>
  <c r="I46" i="11"/>
  <c r="I31" i="11"/>
  <c r="I27" i="11"/>
  <c r="I23" i="11"/>
  <c r="H42" i="11"/>
  <c r="H39" i="11"/>
  <c r="H35" i="11"/>
  <c r="H31" i="11"/>
  <c r="J29" i="11"/>
  <c r="H27" i="11"/>
  <c r="J25" i="11"/>
  <c r="H23" i="11"/>
  <c r="J43" i="11"/>
  <c r="I42" i="11"/>
  <c r="H46" i="11"/>
  <c r="I43" i="11"/>
  <c r="I18" i="11"/>
  <c r="I21" i="11"/>
  <c r="J20" i="11"/>
  <c r="H21" i="11"/>
  <c r="I20" i="11"/>
  <c r="J19" i="11"/>
  <c r="H18" i="11"/>
  <c r="I19" i="11"/>
  <c r="I15" i="11"/>
  <c r="J17" i="11"/>
  <c r="H15" i="11"/>
  <c r="I17" i="11"/>
  <c r="I16" i="11"/>
  <c r="H16" i="11"/>
  <c r="K13" i="60"/>
  <c r="K12" i="60"/>
  <c r="K21" i="11" l="1"/>
  <c r="K20" i="11"/>
  <c r="K18" i="11"/>
  <c r="K40" i="11"/>
  <c r="K36" i="11"/>
  <c r="K39" i="11"/>
  <c r="K24" i="11"/>
  <c r="K43" i="11"/>
  <c r="K22" i="11"/>
  <c r="K44" i="11"/>
  <c r="K37" i="11"/>
  <c r="K29" i="11"/>
  <c r="K32" i="11"/>
  <c r="K25" i="11"/>
  <c r="K27" i="11"/>
  <c r="K35" i="11"/>
  <c r="K33" i="11"/>
  <c r="K38" i="11"/>
  <c r="K26" i="11"/>
  <c r="K28" i="11"/>
  <c r="K46" i="11"/>
  <c r="K31" i="11"/>
  <c r="K30" i="11"/>
  <c r="K45" i="11"/>
  <c r="K23" i="11"/>
  <c r="K42" i="11"/>
  <c r="K19" i="11"/>
  <c r="K15" i="11"/>
  <c r="K17" i="11"/>
  <c r="K16" i="11"/>
  <c r="G6" i="11" l="1"/>
  <c r="D63" i="11"/>
  <c r="J63" i="11" s="1"/>
  <c r="E63" i="11"/>
  <c r="G63" i="11"/>
  <c r="H64" i="11"/>
  <c r="E64" i="11"/>
  <c r="G64" i="11"/>
  <c r="E65" i="11"/>
  <c r="G65" i="11"/>
  <c r="J66" i="11"/>
  <c r="E66" i="11"/>
  <c r="G66" i="11"/>
  <c r="J67" i="11"/>
  <c r="E67" i="11"/>
  <c r="G67" i="11"/>
  <c r="E68" i="11"/>
  <c r="G68" i="11"/>
  <c r="D88" i="11"/>
  <c r="E88" i="11"/>
  <c r="D20" i="60"/>
  <c r="I88" i="11" l="1"/>
  <c r="H88" i="11"/>
  <c r="J88" i="11"/>
  <c r="H65" i="11"/>
  <c r="H68" i="11"/>
  <c r="J68" i="11"/>
  <c r="I66" i="11"/>
  <c r="H66" i="11"/>
  <c r="J65" i="11"/>
  <c r="J64" i="11"/>
  <c r="I64" i="11"/>
  <c r="I68" i="11"/>
  <c r="H67" i="11"/>
  <c r="H63" i="11"/>
  <c r="I67" i="11"/>
  <c r="I63" i="11"/>
  <c r="I65" i="11"/>
  <c r="D14" i="11"/>
  <c r="J14" i="11" s="1"/>
  <c r="E14" i="11"/>
  <c r="G14" i="11"/>
  <c r="K19" i="60"/>
  <c r="D19" i="60"/>
  <c r="J89" i="11" l="1"/>
  <c r="K88" i="11"/>
  <c r="K64" i="11"/>
  <c r="K66" i="11"/>
  <c r="K68" i="11"/>
  <c r="K65" i="11"/>
  <c r="K63" i="11"/>
  <c r="K67" i="11"/>
  <c r="H14" i="11"/>
  <c r="H89" i="11" s="1"/>
  <c r="I14" i="11"/>
  <c r="I89" i="11" s="1"/>
  <c r="K14" i="11" l="1"/>
  <c r="K89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9" i="11"/>
  <c r="D90" i="11"/>
  <c r="H90" i="11" s="1"/>
  <c r="E9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0" i="11"/>
  <c r="I9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2" i="11"/>
  <c r="H93" i="11" s="1"/>
  <c r="I92" i="11"/>
  <c r="I93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6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4" i="11"/>
  <c r="I9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2" i="11" l="1"/>
  <c r="K93" i="11" s="1"/>
  <c r="K94" i="11" s="1"/>
  <c r="B95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2" i="11"/>
  <c r="J9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6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<sst xmlns="http://schemas.openxmlformats.org/spreadsheetml/2006/main" count="4752" uniqueCount="1634">
  <si>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</si>
  <si>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</si>
  <si>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</si>
  <si>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</si>
  <si>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</si>
  <si>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</si>
  <si>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</si>
  <si>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</si>
  <si>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</si>
  <si>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</si>
  <si>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</si>
  <si>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</si>
  <si>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</si>
  <si>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</si>
  <si>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</si>
  <si>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</si>
  <si>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</si>
  <si>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</si>
  <si>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</si>
  <si>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</si>
  <si>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</si>
  <si>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</si>
  <si>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</si>
  <si>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</si>
  <si>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</si>
  <si>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</si>
  <si>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</si>
  <si>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</si>
  <si>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</si>
  <si>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</si>
  <si>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</si>
  <si>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</si>
  <si>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</si>
  <si>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</si>
  <si>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</si>
  <si>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</si>
  <si>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</si>
  <si>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</si>
  <si>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</si>
  <si>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</si>
  <si>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</si>
  <si>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</si>
  <si>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</si>
  <si>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</si>
  <si>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</si>
  <si>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</si>
  <si>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</si>
  <si>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</si>
  <si>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</si>
  <si>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</si>
  <si>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</si>
  <si>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</si>
  <si>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</si>
  <si>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</si>
  <si>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</si>
  <si>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</si>
  <si>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</si>
  <si>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</si>
  <si>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</si>
  <si>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</si>
  <si>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</si>
  <si>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</si>
  <si>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</si>
  <si>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</si>
  <si>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</si>
  <si>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</si>
  <si>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</si>
  <si>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</si>
  <si>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</si>
  <si>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</si>
  <si>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</si>
  <si>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</si>
  <si>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</si>
  <si>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</si>
  <si>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</si>
  <si>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</si>
  <si>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</si>
  <si>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</si>
  <si>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</si>
  <si>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</si>
  <si>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</si>
  <si>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</si>
  <si>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</si>
  <si>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</si>
  <si>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</si>
  <si>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</si>
  <si>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</si>
  <si>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</si>
  <si>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</si>
  <si>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</si>
  <si>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</si>
  <si>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</si>
  <si>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</si>
  <si>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</si>
  <si>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</si>
  <si>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</si>
  <si>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</si>
  <si>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</si>
  <si>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</si>
  <si>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</si>
  <si>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</si>
  <si>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</si>
  <si>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</si>
  <si>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</si>
  <si>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</si>
  <si>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</si>
  <si>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</si>
  <si>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</si>
  <si>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</si>
  <si>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</si>
  <si>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</si>
  <si>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</si>
  <si>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</si>
  <si>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</si>
  <si>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</si>
  <si>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</si>
  <si>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</si>
  <si>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</si>
  <si>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</si>
  <si>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</si>
  <si>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</si>
  <si>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</si>
  <si>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</si>
  <si>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</si>
  <si>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</si>
  <si>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</si>
  <si>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</si>
  <si>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</si>
  <si>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</si>
  <si>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</si>
  <si>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</si>
  <si>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</si>
  <si>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</si>
  <si>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</si>
  <si>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</si>
  <si>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</si>
  <si>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</si>
  <si>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</si>
  <si>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</si>
  <si>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</si>
  <si>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</si>
  <si>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</si>
  <si>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</si>
  <si>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</si>
  <si>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</si>
  <si>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</si>
  <si>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</si>
  <si>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</si>
  <si>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</si>
  <si>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</si>
  <si>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</si>
  <si>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</si>
  <si>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</si>
  <si>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</si>
  <si>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</si>
  <si>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</si>
  <si>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</si>
  <si>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</si>
  <si>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</si>
  <si>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</si>
  <si>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</si>
  <si>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</si>
  <si>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</si>
  <si>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</si>
  <si>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</si>
  <si>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</si>
  <si>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</si>
  <si>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</si>
  <si>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</si>
  <si>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</si>
  <si>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</si>
  <si>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</si>
  <si>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</si>
  <si>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</si>
  <si>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</si>
  <si>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</si>
  <si>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</si>
  <si>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</si>
  <si>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</si>
  <si>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</si>
  <si>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</si>
  <si>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</si>
  <si>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</si>
  <si>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</si>
  <si>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</si>
  <si>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</si>
  <si>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</si>
  <si>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</si>
  <si>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</si>
  <si>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</si>
  <si>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</si>
  <si>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</si>
  <si>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</si>
  <si>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</si>
  <si>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</si>
  <si>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</si>
  <si>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</si>
  <si>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</si>
  <si>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</si>
  <si>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</si>
  <si>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</si>
  <si>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</si>
  <si>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</si>
  <si>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</si>
  <si>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</si>
  <si>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</si>
  <si>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</si>
  <si>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</si>
  <si>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</si>
  <si>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</si>
  <si>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</si>
  <si>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</si>
  <si>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</si>
  <si>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</si>
  <si>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</si>
  <si>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</si>
  <si>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</si>
  <si>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</si>
  <si>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</si>
  <si>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</si>
  <si>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</si>
  <si>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</si>
  <si>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</si>
  <si>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</si>
  <si>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</si>
  <si>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</si>
  <si>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</si>
  <si>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</si>
  <si>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</si>
  <si>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</si>
  <si>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</si>
  <si>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</si>
  <si>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</si>
  <si>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</si>
  <si>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</si>
  <si>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</si>
  <si>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</si>
  <si>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</si>
  <si>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</si>
  <si>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</si>
  <si>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</si>
  <si>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</si>
  <si>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</si>
  <si>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</si>
  <si>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</si>
  <si>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</si>
  <si>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</si>
  <si>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</si>
  <si>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</si>
  <si>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</si>
  <si>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</si>
  <si>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</si>
  <si>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</si>
  <si>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</si>
  <si>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</si>
  <si>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</si>
  <si>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</si>
  <si>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</si>
  <si>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</si>
  <si>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</si>
  <si>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</si>
  <si>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</si>
  <si>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</si>
  <si>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</si>
  <si>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</si>
  <si>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</si>
  <si>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</si>
  <si>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</si>
  <si>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</si>
  <si>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</si>
  <si>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</si>
  <si>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</si>
  <si>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</si>
  <si>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</si>
  <si>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</si>
  <si>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</si>
  <si>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</si>
  <si>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</si>
  <si>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</si>
  <si>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</si>
  <si>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</si>
  <si>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</si>
  <si>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</si>
  <si>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</si>
  <si>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</si>
  <si>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</si>
  <si>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</si>
  <si>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</si>
  <si>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</si>
  <si>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</si>
  <si>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</si>
  <si>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</si>
  <si>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</si>
  <si>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</si>
  <si>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</si>
  <si>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</si>
  <si>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</si>
  <si>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</si>
  <si>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</si>
  <si>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</si>
  <si>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</si>
  <si>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</si>
  <si>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</si>
  <si>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</si>
  <si>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</si>
  <si>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</si>
  <si>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</si>
  <si>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</si>
  <si>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</si>
  <si>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</si>
  <si>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</si>
  <si>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</si>
  <si>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</si>
  <si>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</si>
  <si>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</si>
  <si>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</si>
  <si>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</si>
  <si>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</si>
  <si>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</si>
  <si>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</si>
  <si>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</si>
  <si>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</si>
  <si>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</si>
  <si>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</si>
  <si>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</si>
  <si>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</si>
  <si>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</si>
  <si>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</si>
  <si>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</si>
  <si>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</si>
  <si>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</si>
  <si>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</si>
  <si>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</si>
  <si>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</si>
  <si>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</si>
  <si>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</si>
  <si>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</si>
  <si>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</si>
  <si>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</si>
  <si>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</si>
  <si>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</si>
  <si>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</si>
  <si>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</si>
  <si>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</si>
  <si>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</si>
  <si>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</si>
  <si>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</si>
  <si>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</si>
  <si>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</si>
  <si>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</si>
  <si>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</si>
  <si>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</si>
  <si>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</si>
  <si>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</si>
  <si>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</si>
  <si>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</si>
  <si>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</si>
  <si>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</si>
  <si>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</si>
  <si>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</si>
  <si>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</si>
  <si>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</si>
  <si>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</si>
  <si>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</si>
  <si>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</si>
  <si>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</si>
  <si>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</si>
  <si>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</si>
  <si>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</si>
  <si>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</si>
  <si>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</si>
  <si>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</si>
  <si>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</si>
  <si>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</si>
  <si>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</si>
  <si>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</si>
  <si>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</si>
  <si>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</si>
  <si>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</si>
  <si>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</si>
  <si>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</si>
  <si>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</si>
  <si>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</si>
  <si>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</si>
  <si>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</si>
  <si>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</si>
  <si>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</si>
  <si>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</si>
  <si>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</si>
  <si>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</si>
  <si>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</si>
  <si>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</si>
  <si>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</si>
  <si>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</si>
  <si>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</si>
  <si>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</si>
  <si>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</si>
  <si>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</si>
  <si>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</si>
  <si>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</si>
  <si>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</si>
  <si>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</si>
  <si>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</si>
  <si>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</si>
  <si>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</si>
  <si>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</si>
  <si>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</si>
  <si>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</si>
  <si>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</si>
  <si>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</si>
  <si>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</si>
  <si>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</si>
  <si>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</si>
  <si>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</si>
  <si>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</si>
  <si>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</si>
  <si>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</si>
  <si>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</si>
  <si>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</si>
  <si>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</si>
  <si>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</si>
  <si>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</si>
  <si>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</si>
  <si>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</si>
  <si>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</si>
  <si>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</si>
  <si>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</si>
  <si>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</si>
  <si>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</si>
  <si>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</si>
  <si>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</si>
  <si>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</si>
  <si>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</si>
  <si>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</si>
  <si>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</si>
  <si>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</si>
  <si>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</si>
  <si>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</si>
  <si>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</si>
  <si>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</si>
  <si>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</si>
  <si>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</si>
  <si>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</si>
  <si>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</si>
  <si>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</si>
  <si>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</si>
  <si>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</si>
  <si>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</si>
  <si>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</si>
  <si>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</si>
  <si>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</si>
  <si>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</si>
  <si>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</si>
  <si>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</si>
  <si>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</si>
  <si>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</si>
  <si>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</si>
  <si>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</si>
  <si>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</si>
  <si>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</si>
  <si>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</si>
  <si>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</si>
  <si>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</si>
  <si>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</si>
  <si>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</si>
  <si>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</si>
  <si>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</si>
  <si>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</si>
  <si>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</si>
  <si>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</si>
  <si>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</si>
  <si>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</si>
  <si>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</si>
  <si>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</si>
  <si>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</si>
  <si>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</si>
  <si>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</si>
  <si>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</si>
  <si>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</si>
  <si>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</si>
  <si>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</si>
  <si>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</si>
  <si>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</si>
  <si>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</si>
  <si>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</si>
  <si>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</si>
  <si>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</si>
  <si>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</si>
  <si>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</si>
  <si>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</si>
  <si>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</si>
  <si>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</si>
  <si>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</si>
  <si>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</si>
  <si>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</si>
  <si>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</si>
  <si>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</si>
  <si>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</si>
  <si>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</si>
  <si>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</si>
  <si>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</si>
  <si>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</si>
  <si>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</si>
  <si>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</si>
  <si>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</si>
  <si>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</si>
  <si>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</si>
  <si>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</si>
  <si>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</si>
  <si>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</si>
  <si>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</si>
  <si>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</si>
  <si>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</si>
  <si>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</si>
  <si>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</si>
  <si>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</si>
  <si>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</si>
  <si>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</si>
  <si>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</si>
  <si>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</si>
  <si>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</si>
  <si>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</si>
  <si>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</si>
  <si>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</si>
  <si>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</si>
  <si>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</si>
  <si>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</si>
  <si>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</si>
  <si>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</si>
  <si>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</si>
  <si>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</si>
  <si>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</si>
  <si>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</si>
  <si>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</si>
  <si>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</si>
  <si>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</si>
  <si>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</si>
  <si>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</si>
  <si>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</si>
  <si>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</si>
  <si>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</si>
  <si>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</si>
  <si>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</si>
  <si>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</si>
  <si>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</si>
  <si>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</si>
  <si>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</si>
  <si>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</si>
  <si>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</si>
  <si>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</si>
  <si>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</si>
  <si>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</si>
  <si>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</si>
  <si>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</si>
  <si>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</si>
  <si>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</si>
  <si>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</si>
  <si>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</si>
  <si>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</si>
  <si>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</si>
  <si>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</si>
  <si>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</si>
  <si>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</si>
  <si>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</si>
  <si>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</si>
  <si>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</si>
  <si>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</si>
  <si>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</si>
  <si>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</si>
  <si>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</si>
  <si>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</si>
  <si>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</si>
  <si>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</si>
  <si>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</si>
  <si>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</si>
  <si>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</si>
  <si>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</si>
  <si>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</si>
  <si>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</si>
  <si>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</si>
  <si>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</si>
  <si>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</si>
  <si>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</si>
  <si>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</si>
  <si>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</si>
  <si>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</si>
  <si>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</si>
  <si>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</si>
  <si>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</si>
  <si>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</si>
  <si>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</si>
  <si>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</si>
  <si>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</si>
  <si>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</si>
  <si>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</si>
  <si>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</si>
  <si>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</si>
  <si>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</si>
  <si>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</si>
  <si>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</si>
  <si>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</si>
  <si>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</si>
  <si>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</si>
  <si>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</si>
  <si>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</si>
  <si>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</si>
  <si>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</si>
  <si>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</si>
  <si>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</si>
  <si>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</si>
  <si>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</si>
  <si>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</si>
  <si>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</si>
  <si>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</si>
  <si>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</si>
  <si>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</si>
  <si>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</si>
  <si>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</si>
  <si>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</si>
  <si>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</si>
  <si>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</si>
  <si>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</si>
  <si>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</si>
  <si>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</si>
  <si>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</si>
  <si>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</si>
  <si>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</si>
  <si>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</si>
  <si>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</si>
  <si>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</si>
  <si>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</si>
  <si>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</si>
  <si>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</si>
  <si>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</si>
  <si>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</si>
  <si>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</si>
  <si>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</si>
  <si>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</si>
  <si>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</si>
  <si>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</si>
  <si>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</si>
  <si>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</si>
  <si>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</si>
  <si>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</si>
  <si>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</si>
  <si>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</si>
  <si>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</si>
  <si>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</si>
  <si>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</si>
  <si>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</si>
  <si>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</si>
  <si>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</si>
  <si>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</si>
  <si>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</si>
  <si>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</si>
  <si>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</si>
  <si>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</si>
  <si>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</si>
  <si>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</si>
  <si>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</si>
  <si>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</si>
  <si>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</si>
  <si>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</si>
  <si>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</si>
  <si>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</si>
  <si>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</si>
  <si>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</si>
  <si>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</si>
  <si>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</si>
  <si>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</si>
  <si>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</si>
  <si>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</si>
  <si>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</si>
  <si>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</si>
  <si>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</si>
  <si>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</si>
  <si>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</si>
  <si>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</si>
  <si>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</si>
  <si>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</si>
  <si>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</si>
  <si>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</si>
  <si>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</si>
  <si>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</si>
  <si>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</si>
  <si>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</si>
  <si>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</si>
  <si>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</si>
  <si>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</si>
  <si>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</si>
  <si>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</si>
  <si>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</si>
  <si>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</si>
  <si>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</si>
  <si>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</si>
  <si>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</si>
  <si>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</si>
  <si>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</si>
  <si>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</si>
  <si>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</si>
  <si>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</si>
  <si>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</si>
  <si>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</si>
  <si>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</si>
  <si>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</si>
  <si>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</si>
  <si>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</si>
  <si>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</si>
  <si>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</si>
  <si>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</si>
  <si>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</si>
  <si>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</si>
  <si>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</si>
  <si>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</si>
  <si>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</si>
  <si>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</si>
  <si>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</si>
  <si>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</si>
  <si>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</si>
  <si>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</si>
  <si>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</si>
  <si>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</si>
  <si>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</si>
  <si>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</si>
  <si>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</si>
  <si>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</si>
  <si>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</si>
  <si>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</si>
  <si>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</si>
  <si>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</si>
  <si>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</si>
  <si>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</si>
  <si>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</si>
  <si>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</si>
  <si>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</si>
  <si>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</si>
  <si>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</si>
  <si>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</si>
  <si>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</si>
  <si>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</si>
  <si>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</si>
  <si>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</si>
  <si>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</si>
  <si>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</si>
  <si>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</si>
  <si>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</si>
  <si>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</si>
  <si>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</si>
  <si>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</si>
  <si>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</si>
  <si>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</si>
  <si>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</si>
  <si>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</si>
  <si>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</si>
  <si>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</si>
  <si>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</si>
  <si>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</si>
  <si>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</si>
  <si>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</si>
  <si>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</si>
  <si>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</si>
  <si>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</si>
  <si>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</si>
  <si>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</si>
  <si>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</si>
  <si>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</si>
  <si>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</si>
  <si>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</si>
  <si>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</si>
  <si>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</si>
  <si>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</si>
  <si>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</si>
  <si>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</si>
  <si>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</si>
  <si>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</si>
  <si>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</si>
  <si>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</si>
  <si>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</si>
  <si>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</si>
  <si>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</si>
  <si>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</si>
  <si>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</si>
  <si>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</si>
  <si>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</si>
  <si>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</si>
  <si>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</si>
  <si>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</si>
  <si>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</si>
  <si>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</si>
  <si>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</si>
  <si>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</si>
  <si>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</si>
  <si>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</si>
  <si>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</si>
  <si>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</si>
  <si>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</si>
  <si>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</si>
  <si>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</si>
  <si>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</si>
  <si>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</si>
  <si>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</si>
  <si>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</si>
  <si>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</si>
  <si>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</si>
  <si>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</si>
  <si>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</si>
  <si>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</si>
  <si>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</si>
  <si>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</si>
  <si>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</si>
  <si>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</si>
  <si>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</si>
  <si>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</si>
  <si>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</si>
  <si>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</si>
  <si>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</si>
  <si>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</si>
  <si>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</si>
  <si>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</si>
  <si>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</si>
  <si>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</si>
  <si>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</si>
  <si>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</si>
  <si>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</si>
  <si>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</si>
  <si>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</si>
  <si>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</si>
  <si>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</si>
  <si>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</si>
  <si>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</si>
  <si>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</si>
  <si>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</si>
  <si>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</si>
  <si>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</si>
  <si>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</si>
  <si>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</si>
  <si>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</si>
  <si>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</si>
  <si>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</si>
  <si>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</si>
  <si>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</si>
  <si>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</si>
  <si>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</si>
  <si>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</si>
  <si>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</si>
  <si>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</si>
  <si>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</si>
  <si>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</si>
  <si>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</si>
  <si>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</si>
  <si>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</si>
  <si>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</si>
  <si>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</si>
  <si>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</si>
  <si>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</si>
  <si>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</si>
  <si>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</si>
  <si>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</si>
  <si>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</si>
  <si>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</si>
  <si>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</si>
  <si>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</si>
  <si>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</si>
  <si>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</si>
  <si>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</si>
  <si>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</si>
  <si>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</si>
  <si>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</si>
  <si>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</si>
  <si>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</si>
  <si>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</si>
  <si>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</si>
  <si>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</si>
  <si>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</si>
  <si>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</si>
  <si>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</si>
  <si>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</si>
  <si>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</si>
  <si>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</si>
  <si>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</si>
  <si>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</si>
  <si>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</si>
  <si>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</si>
  <si>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</si>
  <si>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</si>
  <si>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</si>
  <si>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</si>
  <si>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</si>
  <si>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</si>
  <si>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</si>
  <si>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</si>
  <si>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</si>
  <si>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</si>
  <si>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</si>
  <si>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</si>
  <si>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</si>
  <si>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</si>
  <si>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</si>
  <si>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</si>
  <si>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</si>
  <si>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</si>
  <si>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</si>
  <si>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</si>
  <si>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</si>
  <si>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</si>
  <si>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</si>
  <si>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</si>
  <si>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</si>
  <si>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</si>
  <si>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</si>
  <si>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</si>
  <si>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</si>
  <si>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</si>
  <si>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</si>
  <si>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</si>
  <si>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</si>
  <si>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</si>
  <si>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</si>
  <si>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</si>
  <si>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</si>
  <si>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</si>
  <si>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</si>
  <si>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</si>
  <si>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</si>
  <si>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</si>
  <si>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</si>
  <si>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</si>
  <si>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</si>
  <si>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</si>
  <si>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</si>
  <si>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</si>
  <si>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</si>
  <si>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</si>
  <si>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</si>
  <si>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</si>
  <si>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</si>
  <si>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</si>
  <si>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</si>
  <si>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</si>
  <si>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</si>
  <si>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</si>
  <si>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</si>
  <si>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</si>
  <si>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</si>
  <si>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</si>
  <si>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</si>
  <si>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</si>
  <si>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</si>
  <si>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</si>
  <si>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</si>
  <si>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</si>
  <si>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</si>
  <si>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</si>
  <si>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</si>
  <si>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</si>
  <si>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</si>
  <si>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</si>
  <si>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</si>
  <si>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</si>
  <si>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</si>
  <si>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</si>
  <si>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</si>
  <si>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</si>
  <si>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</si>
  <si>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</si>
  <si>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</si>
  <si>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</si>
  <si>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</si>
  <si>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</si>
  <si>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</si>
  <si>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</si>
  <si>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</si>
  <si>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</si>
  <si>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</si>
  <si>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</si>
  <si>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</si>
  <si>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</si>
  <si>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</si>
  <si>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</si>
  <si>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</si>
  <si>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</si>
  <si>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</si>
  <si>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</si>
  <si>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</si>
  <si>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</si>
  <si>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</si>
  <si>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</si>
  <si>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</si>
  <si>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</si>
  <si>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</si>
  <si>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</si>
  <si>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</si>
  <si>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</si>
  <si>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</si>
  <si>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</si>
  <si>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</si>
  <si>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</si>
  <si>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</si>
  <si>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</si>
  <si>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</si>
  <si>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</si>
  <si>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</si>
  <si>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</si>
  <si>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</si>
  <si>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</si>
  <si>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</si>
  <si>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</si>
  <si>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</si>
  <si>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</si>
  <si>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</si>
  <si>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</si>
  <si>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</si>
  <si>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</si>
  <si>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</si>
  <si>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</si>
  <si>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</si>
  <si>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</si>
  <si>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</si>
  <si>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</si>
  <si>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</si>
  <si>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</si>
  <si>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</si>
  <si>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</si>
  <si>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</si>
  <si>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</si>
  <si>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</si>
  <si>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</si>
  <si>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</si>
  <si>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</si>
  <si>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</si>
  <si>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</si>
  <si>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</si>
  <si>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</si>
  <si>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</si>
  <si>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</si>
  <si>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</si>
  <si>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</si>
  <si>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</si>
  <si>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</si>
  <si>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</si>
  <si>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</si>
  <si>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</si>
  <si>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</si>
  <si>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</si>
  <si>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</si>
  <si>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</si>
  <si>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</si>
  <si>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</si>
  <si>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</si>
  <si>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</si>
  <si>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</si>
  <si>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</si>
  <si>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</si>
  <si>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</si>
  <si>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</si>
  <si>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</si>
  <si>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</si>
  <si>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</si>
  <si>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</si>
  <si>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</si>
  <si>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</si>
  <si>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</si>
  <si>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</si>
  <si>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</si>
  <si>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</si>
  <si>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</si>
  <si>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</si>
  <si>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</si>
  <si>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</si>
  <si>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</si>
  <si>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</si>
  <si>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</si>
  <si>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</si>
  <si>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</si>
  <si>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</si>
  <si>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</si>
  <si>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</si>
  <si>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</si>
  <si>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</si>
  <si>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</si>
  <si>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</si>
  <si>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</si>
  <si>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</si>
  <si>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</si>
  <si>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</si>
  <si>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</si>
  <si>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</si>
  <si>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</si>
  <si>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</si>
  <si>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</si>
  <si>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</si>
  <si>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</si>
  <si>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</si>
  <si>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</si>
  <si>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</si>
  <si>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</si>
  <si>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</si>
  <si>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</si>
  <si>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</si>
  <si>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</si>
  <si>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</si>
  <si>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</si>
  <si>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</si>
  <si>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</si>
  <si>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</si>
  <si>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</si>
  <si>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</si>
  <si>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</si>
  <si>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</si>
  <si>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</si>
  <si>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</si>
  <si>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</si>
  <si>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</si>
  <si>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</si>
  <si>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</si>
  <si>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</si>
  <si>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</si>
  <si>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</si>
  <si>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</si>
  <si>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</si>
  <si>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</si>
  <si>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</si>
  <si>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</si>
  <si>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</si>
  <si>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</si>
  <si>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</si>
  <si>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</si>
  <si>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</si>
  <si>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</si>
  <si>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</si>
  <si>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</si>
  <si>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</si>
  <si>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</si>
  <si>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</si>
  <si>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</si>
  <si>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</si>
  <si>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</si>
  <si>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</si>
  <si>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</si>
  <si>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</si>
  <si>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</si>
  <si>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</si>
  <si>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</si>
  <si>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</si>
  <si>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</si>
  <si>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</si>
  <si>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</si>
  <si>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</si>
  <si>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</si>
  <si>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</si>
  <si>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</si>
  <si>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</si>
  <si>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</si>
  <si>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</si>
  <si>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</si>
  <si>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</si>
  <si>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</si>
  <si>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</si>
  <si>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</si>
  <si>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</si>
  <si>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</si>
  <si>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</si>
  <si>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</si>
  <si>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</si>
  <si>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</si>
  <si>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</si>
  <si>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</si>
  <si>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</si>
  <si>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</si>
  <si>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</si>
  <si>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</si>
  <si>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</si>
  <si>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</si>
  <si>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</si>
  <si>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</si>
  <si>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</si>
  <si>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</si>
  <si>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</si>
  <si>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</si>
  <si>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</si>
  <si>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</si>
  <si>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</si>
  <si>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</si>
  <si>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</si>
  <si>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</si>
  <si>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</si>
  <si>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</si>
  <si>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</si>
  <si>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</si>
  <si>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</si>
  <si>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</si>
  <si>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</si>
  <si>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</si>
  <si>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</si>
  <si>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</si>
  <si>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</si>
  <si>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</si>
  <si>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</si>
  <si>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</si>
  <si>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</si>
  <si>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</si>
  <si>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</si>
  <si>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</si>
  <si>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</si>
  <si>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</si>
  <si>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</si>
  <si>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</si>
  <si>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</si>
  <si>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</si>
  <si>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</si>
  <si>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</si>
  <si>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</si>
  <si>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</si>
  <si>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</si>
  <si>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</si>
  <si>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</si>
  <si>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</si>
  <si>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</si>
  <si>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</si>
  <si>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</si>
  <si>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</si>
  <si>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</si>
  <si>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</si>
  <si>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</si>
  <si>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</si>
  <si>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</si>
  <si>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</si>
  <si>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</si>
  <si>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</si>
  <si>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</si>
  <si>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</si>
  <si>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</si>
  <si>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</si>
  <si>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</si>
  <si>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</si>
  <si>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</si>
  <si>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</si>
  <si>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</si>
  <si>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</si>
  <si>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</si>
  <si>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</si>
  <si>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</si>
  <si>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</si>
  <si>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</si>
  <si>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</si>
  <si>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</si>
  <si>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</si>
  <si>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</si>
  <si>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</si>
  <si>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</si>
  <si>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</si>
  <si>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</si>
  <si>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</si>
  <si>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</si>
  <si>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</si>
  <si>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</si>
  <si>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</si>
  <si>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</si>
  <si>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</si>
  <si>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</si>
  <si>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</si>
  <si>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</si>
  <si>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</si>
  <si>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</si>
  <si>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</si>
  <si>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</si>
  <si>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</si>
  <si>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</si>
  <si>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</si>
  <si>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</si>
  <si>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</si>
  <si>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</si>
  <si>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</si>
  <si>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</si>
  <si>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</si>
  <si>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</si>
  <si>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</si>
  <si>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</si>
  <si>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</si>
  <si>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</si>
  <si>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</si>
  <si>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</si>
  <si>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</si>
  <si>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</si>
  <si>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</si>
  <si>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</si>
  <si>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</si>
  <si>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</si>
  <si>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</si>
  <si>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</si>
  <si>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</si>
  <si>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</si>
  <si>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</si>
  <si>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</si>
  <si>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</si>
  <si>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</si>
  <si>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</si>
  <si>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</si>
  <si>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</si>
  <si>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</si>
  <si>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</si>
  <si>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</si>
  <si>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</si>
  <si>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</si>
  <si>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</si>
  <si>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</si>
  <si>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</si>
  <si>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</si>
  <si>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</si>
  <si>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</si>
  <si>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</si>
  <si>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</si>
  <si>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</si>
  <si>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</si>
  <si>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</si>
  <si>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</si>
  <si>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</si>
  <si>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</si>
  <si>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</si>
  <si>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</si>
  <si>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</si>
  <si>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</si>
  <si>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</si>
  <si>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</si>
  <si>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</si>
  <si>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</si>
  <si>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</si>
  <si>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</si>
  <si>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</si>
  <si>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</si>
  <si>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</si>
  <si>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</si>
  <si>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</si>
  <si>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</si>
  <si>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</si>
  <si>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</si>
  <si>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</si>
  <si>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</si>
  <si>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</si>
  <si>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</si>
  <si>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</si>
  <si>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</si>
  <si>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</si>
  <si>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</si>
  <si>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</si>
  <si>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</si>
  <si>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</si>
  <si>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</si>
  <si>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</si>
  <si>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</si>
  <si>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</si>
  <si>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</si>
  <si>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</si>
  <si>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</si>
  <si>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</si>
  <si>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</si>
  <si>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</si>
  <si>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</si>
  <si>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</si>
  <si>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</si>
  <si>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</si>
  <si>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</si>
  <si>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</si>
  <si>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</si>
  <si>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</si>
  <si>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</si>
  <si>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</si>
  <si>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</si>
  <si>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</si>
  <si>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</si>
  <si>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</si>
  <si>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</si>
  <si>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</si>
  <si>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</si>
  <si>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</si>
  <si>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</si>
  <si>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</si>
  <si>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</si>
  <si>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</si>
  <si>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</si>
  <si>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</si>
  <si>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</si>
  <si>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</si>
  <si>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</si>
  <si>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</si>
  <si>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</si>
  <si>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</si>
  <si>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</si>
  <si>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</si>
  <si>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</si>
  <si>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</si>
  <si>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</si>
  <si>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</si>
  <si>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</si>
  <si>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</si>
  <si>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</si>
  <si>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</si>
  <si>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</si>
  <si>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</si>
  <si>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</si>
  <si>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</si>
  <si>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</si>
  <si>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</si>
  <si>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</si>
  <si>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</si>
  <si>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</si>
  <si>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</si>
  <si>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</si>
  <si>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</si>
  <si>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</si>
  <si>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</si>
  <si>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</si>
  <si>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</si>
  <si>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</si>
  <si>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</si>
  <si>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</si>
  <si>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</si>
  <si>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</si>
  <si>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</si>
  <si>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</si>
  <si>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</si>
  <si>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</si>
  <si>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</si>
  <si>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</si>
  <si>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</si>
  <si>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</si>
  <si>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</si>
  <si>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</si>
  <si>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</si>
  <si>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</si>
  <si>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</si>
  <si>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</si>
  <si>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</si>
  <si>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</si>
  <si>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</si>
  <si>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</si>
  <si>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</si>
  <si>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</si>
  <si>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</si>
  <si>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</si>
  <si>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</si>
  <si>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</si>
  <si>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</si>
  <si>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</si>
  <si>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</si>
  <si>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</si>
  <si>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</si>
  <si>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</si>
  <si>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</si>
  <si>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</si>
  <si>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</si>
  <si>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</si>
  <si>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</si>
  <si>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</si>
  <si>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</si>
  <si>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</si>
  <si>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</si>
  <si>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</si>
  <si>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</si>
  <si>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</si>
  <si>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</si>
  <si>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</si>
  <si>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</si>
  <si>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</si>
  <si>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</si>
  <si>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</si>
  <si>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</si>
  <si>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</si>
  <si>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</si>
  <si>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</si>
  <si>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</si>
  <si>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</si>
  <si>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</si>
  <si>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</si>
  <si>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</si>
  <si>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</si>
  <si>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</si>
  <si>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</si>
  <si>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</si>
  <si>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</si>
  <si>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</si>
  <si>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</si>
  <si>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</si>
  <si>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</si>
  <si>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</si>
  <si>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</si>
  <si>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</si>
  <si>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</si>
  <si>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</si>
  <si>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</si>
  <si>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</si>
  <si>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</si>
  <si>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</si>
  <si>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</si>
  <si>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</si>
  <si>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</si>
  <si>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</si>
  <si>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</si>
  <si>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</si>
  <si>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</si>
  <si>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</si>
  <si>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</si>
  <si>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</si>
  <si>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</si>
  <si>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</si>
  <si>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</si>
  <si>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</si>
  <si>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</si>
  <si>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</si>
  <si>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</si>
  <si>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</si>
  <si>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</si>
  <si>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</si>
  <si>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</si>
  <si>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</si>
  <si>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</si>
  <si>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</si>
  <si>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</si>
  <si>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</si>
  <si>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</si>
  <si>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</si>
  <si>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</si>
  <si>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</si>
  <si>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</si>
  <si>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</si>
  <si>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</si>
  <si>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</si>
  <si>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</si>
  <si>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</si>
  <si>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</si>
  <si>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</si>
  <si>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</si>
  <si>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</si>
  <si>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</si>
  <si>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</si>
  <si>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</si>
  <si>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</si>
  <si>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</si>
  <si>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</si>
  <si>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</si>
  <si>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</si>
  <si>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</si>
  <si>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</si>
  <si>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</si>
  <si>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</si>
  <si>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</si>
  <si>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</si>
  <si>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</si>
  <si>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</si>
  <si>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</si>
  <si>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</si>
  <si>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</si>
  <si>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</si>
  <si>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</si>
  <si>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</si>
  <si>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</si>
  <si>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</si>
  <si>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</si>
  <si>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</si>
  <si>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</si>
  <si>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</si>
  <si>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</si>
  <si>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</si>
  <si>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</si>
  <si>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</si>
  <si>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</si>
  <si>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</si>
  <si>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</si>
  <si>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</si>
  <si>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</si>
  <si>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</si>
  <si>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</si>
  <si>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</si>
  <si>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</si>
  <si>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</si>
  <si>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</si>
  <si>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</si>
  <si>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</si>
  <si>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</si>
  <si>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</si>
  <si>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</si>
  <si>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</si>
  <si>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</si>
  <si>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</si>
  <si>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</si>
  <si>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</si>
  <si>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</si>
  <si>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</si>
  <si>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</si>
  <si>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</si>
  <si>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</si>
  <si>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</si>
  <si>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</si>
  <si>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</si>
  <si>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</si>
  <si>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</si>
  <si>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</si>
  <si>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</si>
  <si>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</si>
  <si>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</si>
  <si>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</si>
  <si>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</si>
  <si>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</si>
  <si>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</si>
  <si>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</si>
  <si>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</si>
  <si>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</si>
  <si>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</si>
  <si>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</si>
  <si>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</si>
  <si>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</si>
  <si>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</si>
  <si>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</si>
  <si>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</si>
  <si>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KONSTRUKSI JTM 3 PHASE</t>
  </si>
  <si>
    <t>CJ5-T</t>
  </si>
  <si>
    <t>CJ6-T</t>
  </si>
  <si>
    <t>CE1-3</t>
  </si>
  <si>
    <t>F1-3</t>
  </si>
  <si>
    <t>CM2-12A</t>
  </si>
  <si>
    <t>KOORDINAT : -6.885881, 110.628964</t>
  </si>
  <si>
    <t>Daya 6.600 VA</t>
  </si>
  <si>
    <t>Pemasangan APP 3 Fasa Di Bangunan</t>
  </si>
  <si>
    <t>CM2-11</t>
  </si>
  <si>
    <t>DS MANGUNJIWAN KEC DEMAK</t>
  </si>
  <si>
    <t>Staf teknik</t>
  </si>
  <si>
    <t>TL Teknik</t>
  </si>
  <si>
    <t>MULP</t>
  </si>
  <si>
    <t>Mbag Ren</t>
  </si>
  <si>
    <t>Demak, 27 Desember 2023</t>
  </si>
  <si>
    <t>MANAGER ULP</t>
  </si>
  <si>
    <t>ACHMAD SUHENDRO</t>
  </si>
  <si>
    <t>I2T</t>
  </si>
  <si>
    <t>NUR WACHID AHMAD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</si>
</sst>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15" fillId="33" borderId="50" xfId="0" applyFont="1" applyFill="1" applyBorder="1" applyAlignment="1">
      <alignment horizontal="left"/>
    </xf>
    <xf numFmtId="0" fontId="115" fillId="33" borderId="7" xfId="0" applyFont="1" applyFill="1" applyBorder="1" applyAlignment="1">
      <alignment horizontal="left"/>
    </xf>
    <xf numFmtId="0" fontId="115" fillId="33" borderId="41" xfId="0" applyFont="1" applyFill="1" applyBorder="1" applyAlignment="1">
      <alignment horizontal="left"/>
    </xf>
    <xf numFmtId="0" fontId="115" fillId="33" borderId="102" xfId="0" applyFont="1" applyFill="1" applyBorder="1" applyAlignment="1">
      <alignment horizontal="left"/>
    </xf>
    <xf numFmtId="0" fontId="115" fillId="33" borderId="62" xfId="0" applyFont="1" applyFill="1" applyBorder="1" applyAlignment="1">
      <alignment horizontal="left"/>
    </xf>
    <xf numFmtId="0" fontId="115" fillId="33" borderId="63" xfId="0" applyFont="1" applyFill="1" applyBorder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0.19799999999999995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1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1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100853</xdr:colOff>
      <xdr:row>37</xdr:row>
      <xdr:rowOff>123264</xdr:rowOff>
    </xdr:from>
    <xdr:to>
      <xdr:col>19</xdr:col>
      <xdr:colOff>396091</xdr:colOff>
      <xdr:row>39</xdr:row>
      <xdr:rowOff>148079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16785A-A680-48E3-91C6-02B2253E3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9765" y="8931088"/>
          <a:ext cx="295238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9</xdr:col>
      <xdr:colOff>295238</xdr:colOff>
      <xdr:row>80</xdr:row>
      <xdr:rowOff>148078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AFA2BF-C3C0-41CE-943C-7703C6D8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5161559"/>
          <a:ext cx="295238" cy="529078"/>
        </a:xfrm>
        <a:prstGeom prst="rect">
          <a:avLst/>
        </a:prstGeom>
      </xdr:spPr>
    </xdr:pic>
    <xdr:clientData/>
  </xdr:twoCellAnchor>
  <xdr:twoCellAnchor editAs="oneCell">
    <xdr:from>
      <xdr:col>10</xdr:col>
      <xdr:colOff>874059</xdr:colOff>
      <xdr:row>104</xdr:row>
      <xdr:rowOff>179294</xdr:rowOff>
    </xdr:from>
    <xdr:to>
      <xdr:col>11</xdr:col>
      <xdr:colOff>59914</xdr:colOff>
      <xdr:row>107</xdr:row>
      <xdr:rowOff>136872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011453-2A85-48F2-8A4A-43D03DDA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9441" y="20327470"/>
          <a:ext cx="295238" cy="529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182217</xdr:colOff>
      <xdr:row>11</xdr:row>
      <xdr:rowOff>0</xdr:rowOff>
    </xdr:from>
    <xdr:to>
      <xdr:col>17</xdr:col>
      <xdr:colOff>173935</xdr:colOff>
      <xdr:row>15</xdr:row>
      <xdr:rowOff>21165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B68457ED-3885-4C62-B8EE-9A789D8367E3}"/>
            </a:ext>
          </a:extLst>
        </xdr:cNvPr>
        <xdr:cNvCxnSpPr/>
      </xdr:nvCxnSpPr>
      <xdr:spPr>
        <a:xfrm flipV="1">
          <a:off x="3544956" y="1673087"/>
          <a:ext cx="2658718" cy="634078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14</xdr:col>
      <xdr:colOff>224583</xdr:colOff>
      <xdr:row>42</xdr:row>
      <xdr:rowOff>74083</xdr:rowOff>
    </xdr:from>
    <xdr:to>
      <xdr:col>21</xdr:col>
      <xdr:colOff>291561</xdr:colOff>
      <xdr:row>54</xdr:row>
      <xdr:rowOff>95296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F4814-555E-EB4D-0355-B554C056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3500" y="6350000"/>
          <a:ext cx="2733978" cy="1915629"/>
        </a:xfrm>
        <a:prstGeom prst="rect">
          <a:avLst/>
        </a:prstGeom>
      </xdr:spPr>
    </xdr:pic>
    <xdr:clientData/>
  </xdr:twoCellAnchor>
  <xdr:twoCellAnchor>
    <xdr:from>
      <xdr:col>3</xdr:col>
      <xdr:colOff>273326</xdr:colOff>
      <xdr:row>12</xdr:row>
      <xdr:rowOff>8283</xdr:rowOff>
    </xdr:from>
    <xdr:to>
      <xdr:col>10</xdr:col>
      <xdr:colOff>236513</xdr:colOff>
      <xdr:row>15</xdr:row>
      <xdr:rowOff>20707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0CA0E9B-3847-1AE2-F272-B0A5C7FC71A3}"/>
            </a:ext>
          </a:extLst>
        </xdr:cNvPr>
        <xdr:cNvCxnSpPr/>
      </xdr:nvCxnSpPr>
      <xdr:spPr>
        <a:xfrm>
          <a:off x="969065" y="1830457"/>
          <a:ext cx="2630187" cy="47625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137583</xdr:colOff>
      <xdr:row>19</xdr:row>
      <xdr:rowOff>0</xdr:rowOff>
    </xdr:from>
    <xdr:to>
      <xdr:col>15</xdr:col>
      <xdr:colOff>211666</xdr:colOff>
      <xdr:row>19</xdr:row>
      <xdr:rowOff>21166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FF038B6-5C0E-472B-85B2-3BE394544A3D}"/>
            </a:ext>
          </a:extLst>
        </xdr:cNvPr>
        <xdr:cNvCxnSpPr/>
      </xdr:nvCxnSpPr>
      <xdr:spPr>
        <a:xfrm flipV="1">
          <a:off x="1587500" y="2846917"/>
          <a:ext cx="3884083" cy="21166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31750</xdr:colOff>
      <xdr:row>19</xdr:row>
      <xdr:rowOff>116415</xdr:rowOff>
    </xdr:from>
    <xdr:to>
      <xdr:col>10</xdr:col>
      <xdr:colOff>95250</xdr:colOff>
      <xdr:row>46</xdr:row>
      <xdr:rowOff>116417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4AF89D7B-F6A7-4AD8-A353-3C73F53F51F8}"/>
            </a:ext>
          </a:extLst>
        </xdr:cNvPr>
        <xdr:cNvCxnSpPr/>
      </xdr:nvCxnSpPr>
      <xdr:spPr>
        <a:xfrm flipH="1">
          <a:off x="3386667" y="2963332"/>
          <a:ext cx="63500" cy="4021668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179916</xdr:colOff>
      <xdr:row>14</xdr:row>
      <xdr:rowOff>10583</xdr:rowOff>
    </xdr:from>
    <xdr:to>
      <xdr:col>11</xdr:col>
      <xdr:colOff>317500</xdr:colOff>
      <xdr:row>15</xdr:row>
      <xdr:rowOff>105833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EAB6995-080D-BD12-9749-128EECC2CE87}"/>
            </a:ext>
          </a:extLst>
        </xdr:cNvPr>
        <xdr:cNvSpPr/>
      </xdr:nvSpPr>
      <xdr:spPr>
        <a:xfrm>
          <a:off x="2772833" y="2116666"/>
          <a:ext cx="1280584" cy="2434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JL</a:t>
          </a:r>
          <a:r>
            <a:rPr lang="en-US" sz="1100" baseline="0">
              <a:solidFill>
                <a:schemeClr val="bg1"/>
              </a:solidFill>
            </a:rPr>
            <a:t> Bonang - Demak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137583</xdr:colOff>
      <xdr:row>16</xdr:row>
      <xdr:rowOff>116417</xdr:rowOff>
    </xdr:from>
    <xdr:to>
      <xdr:col>15</xdr:col>
      <xdr:colOff>211666</xdr:colOff>
      <xdr:row>16</xdr:row>
      <xdr:rowOff>137583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C55AA95-ABB6-4985-9829-A9E7E376FDFB}"/>
            </a:ext>
          </a:extLst>
        </xdr:cNvPr>
        <xdr:cNvCxnSpPr/>
      </xdr:nvCxnSpPr>
      <xdr:spPr>
        <a:xfrm flipV="1">
          <a:off x="1587500" y="2518834"/>
          <a:ext cx="3884083" cy="21166"/>
        </a:xfrm>
        <a:prstGeom prst="line">
          <a:avLst/>
        </a:prstGeom>
        <a:ln w="2540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116416</xdr:colOff>
      <xdr:row>15</xdr:row>
      <xdr:rowOff>137585</xdr:rowOff>
    </xdr:from>
    <xdr:to>
      <xdr:col>10</xdr:col>
      <xdr:colOff>349249</xdr:colOff>
      <xdr:row>17</xdr:row>
      <xdr:rowOff>116418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DD942-1F52-4F14-AB56-59EE03AD4976}"/>
            </a:ext>
          </a:extLst>
        </xdr:cNvPr>
        <xdr:cNvSpPr/>
      </xdr:nvSpPr>
      <xdr:spPr>
        <a:xfrm>
          <a:off x="3090333" y="2391835"/>
          <a:ext cx="613833" cy="27516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sungai</a:t>
          </a:r>
        </a:p>
      </xdr:txBody>
    </xdr:sp>
    <xdr:clientData/>
  </xdr:twoCellAnchor>
  <xdr:twoCellAnchor>
    <xdr:from>
      <xdr:col>10</xdr:col>
      <xdr:colOff>314740</xdr:colOff>
      <xdr:row>21</xdr:row>
      <xdr:rowOff>24847</xdr:rowOff>
    </xdr:from>
    <xdr:to>
      <xdr:col>11</xdr:col>
      <xdr:colOff>52511</xdr:colOff>
      <xdr:row>21</xdr:row>
      <xdr:rowOff>144727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9824824-6236-47B7-AE3D-28393558608D}"/>
            </a:ext>
          </a:extLst>
        </xdr:cNvPr>
        <xdr:cNvGrpSpPr/>
      </xdr:nvGrpSpPr>
      <xdr:grpSpPr>
        <a:xfrm>
          <a:off x="3677479" y="3205369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8064E3A0-0A6C-F679-A20C-EB7293ED174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1729881-6E83-EDB3-29CE-A51FB5CAB8A0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172BBD90-68FC-0918-A7E6-61724399FC7F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298173</xdr:colOff>
      <xdr:row>27</xdr:row>
      <xdr:rowOff>41414</xdr:rowOff>
    </xdr:from>
    <xdr:to>
      <xdr:col>11</xdr:col>
      <xdr:colOff>35944</xdr:colOff>
      <xdr:row>28</xdr:row>
      <xdr:rowOff>12207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61F1E9A1-FB70-436D-B8A3-BD996F706438}"/>
            </a:ext>
          </a:extLst>
        </xdr:cNvPr>
        <xdr:cNvGrpSpPr/>
      </xdr:nvGrpSpPr>
      <xdr:grpSpPr>
        <a:xfrm>
          <a:off x="3660912" y="4116457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82C3A9FB-56C5-DF5C-AE3D-65ECDCF735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95B03A1F-FCA7-0EA8-CA35-03C674FD9AFA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ED39A09-84B7-AF83-CFD1-4197B448580B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273326</xdr:colOff>
      <xdr:row>34</xdr:row>
      <xdr:rowOff>91107</xdr:rowOff>
    </xdr:from>
    <xdr:to>
      <xdr:col>11</xdr:col>
      <xdr:colOff>11097</xdr:colOff>
      <xdr:row>35</xdr:row>
      <xdr:rowOff>61900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FC5F99EE-5782-4BE1-BBAD-4E0311E92838}"/>
            </a:ext>
          </a:extLst>
        </xdr:cNvPr>
        <xdr:cNvGrpSpPr/>
      </xdr:nvGrpSpPr>
      <xdr:grpSpPr>
        <a:xfrm>
          <a:off x="3636065" y="5201477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E30D9C25-521A-74E8-D04E-6E47E64ADC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78DE3674-FF84-2ECD-1C89-E17DB54876D7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A024918C-E25F-7DC1-38BA-ACB7CC0EE3D8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124239</xdr:colOff>
      <xdr:row>15</xdr:row>
      <xdr:rowOff>124239</xdr:rowOff>
    </xdr:from>
    <xdr:to>
      <xdr:col>10</xdr:col>
      <xdr:colOff>243010</xdr:colOff>
      <xdr:row>16</xdr:row>
      <xdr:rowOff>95032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AFA344A1-2EE6-400A-BEC1-99BC5E7C4FFA}"/>
            </a:ext>
          </a:extLst>
        </xdr:cNvPr>
        <xdr:cNvGrpSpPr/>
      </xdr:nvGrpSpPr>
      <xdr:grpSpPr>
        <a:xfrm>
          <a:off x="3486978" y="2410239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203294DD-11B5-A4C8-C6FF-862C602798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D0F8EE1-ED37-28A5-C4AF-BCCEB773B9BA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D2F45801-F138-B8A7-978D-D46A6E6FF18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140804</xdr:colOff>
      <xdr:row>12</xdr:row>
      <xdr:rowOff>115956</xdr:rowOff>
    </xdr:from>
    <xdr:to>
      <xdr:col>10</xdr:col>
      <xdr:colOff>259575</xdr:colOff>
      <xdr:row>13</xdr:row>
      <xdr:rowOff>70184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4A08029-D1B2-4E0B-9E84-9CF358A7856C}"/>
            </a:ext>
          </a:extLst>
        </xdr:cNvPr>
        <xdr:cNvGrpSpPr/>
      </xdr:nvGrpSpPr>
      <xdr:grpSpPr>
        <a:xfrm>
          <a:off x="3503543" y="1938130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77CAD1F1-F762-5EB1-1508-B6ECAFA862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24616A1B-93B7-2D7E-C04C-9641C65DEC38}"/>
              </a:ext>
            </a:extLst>
          </xdr:cNvPr>
          <xdr:cNvCxnSpPr>
            <a:stCxn id="31" idx="1"/>
            <a:endCxn id="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D602877F-3263-9490-0383-D640C29F2731}"/>
              </a:ext>
            </a:extLst>
          </xdr:cNvPr>
          <xdr:cNvCxnSpPr>
            <a:stCxn id="31" idx="3"/>
            <a:endCxn id="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347870</xdr:colOff>
      <xdr:row>10</xdr:row>
      <xdr:rowOff>82826</xdr:rowOff>
    </xdr:from>
    <xdr:to>
      <xdr:col>10</xdr:col>
      <xdr:colOff>85641</xdr:colOff>
      <xdr:row>11</xdr:row>
      <xdr:rowOff>53619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827A3364-9C63-41FB-B0B2-BBA361E76C4F}"/>
            </a:ext>
          </a:extLst>
        </xdr:cNvPr>
        <xdr:cNvGrpSpPr/>
      </xdr:nvGrpSpPr>
      <xdr:grpSpPr>
        <a:xfrm>
          <a:off x="3329609" y="1606826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231B8054-156E-A345-1137-A73228A9E53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7C27059A-48FA-8A0E-1F8C-B1C916D9BF76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F33B8DA4-08B9-C889-8BD3-D3D128A7EC84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149087</xdr:colOff>
      <xdr:row>9</xdr:row>
      <xdr:rowOff>140804</xdr:rowOff>
    </xdr:from>
    <xdr:to>
      <xdr:col>9</xdr:col>
      <xdr:colOff>347870</xdr:colOff>
      <xdr:row>10</xdr:row>
      <xdr:rowOff>142766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67BED75-0E53-4AE6-947B-9C1DCF4809C1}"/>
            </a:ext>
          </a:extLst>
        </xdr:cNvPr>
        <xdr:cNvCxnSpPr>
          <a:endCxn id="35" idx="2"/>
        </xdr:cNvCxnSpPr>
      </xdr:nvCxnSpPr>
      <xdr:spPr>
        <a:xfrm>
          <a:off x="2368826" y="1515717"/>
          <a:ext cx="960783" cy="15104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85641</xdr:colOff>
      <xdr:row>9</xdr:row>
      <xdr:rowOff>57978</xdr:rowOff>
    </xdr:from>
    <xdr:to>
      <xdr:col>12</xdr:col>
      <xdr:colOff>372718</xdr:colOff>
      <xdr:row>10</xdr:row>
      <xdr:rowOff>142766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40D44032-E7B8-4483-8DF0-65539D67DA00}"/>
            </a:ext>
          </a:extLst>
        </xdr:cNvPr>
        <xdr:cNvCxnSpPr>
          <a:stCxn id="35" idx="6"/>
        </xdr:cNvCxnSpPr>
      </xdr:nvCxnSpPr>
      <xdr:spPr>
        <a:xfrm flipV="1">
          <a:off x="3448380" y="1432891"/>
          <a:ext cx="1049077" cy="23387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165652</xdr:colOff>
      <xdr:row>11</xdr:row>
      <xdr:rowOff>91109</xdr:rowOff>
    </xdr:from>
    <xdr:to>
      <xdr:col>10</xdr:col>
      <xdr:colOff>158198</xdr:colOff>
      <xdr:row>12</xdr:row>
      <xdr:rowOff>133512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B4747DF9-53BF-4112-95B1-782606572C1F}"/>
            </a:ext>
          </a:extLst>
        </xdr:cNvPr>
        <xdr:cNvCxnSpPr>
          <a:endCxn id="31" idx="1"/>
        </xdr:cNvCxnSpPr>
      </xdr:nvCxnSpPr>
      <xdr:spPr>
        <a:xfrm>
          <a:off x="2385391" y="1764196"/>
          <a:ext cx="1135546" cy="19149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242181</xdr:colOff>
      <xdr:row>11</xdr:row>
      <xdr:rowOff>34122</xdr:rowOff>
    </xdr:from>
    <xdr:to>
      <xdr:col>13</xdr:col>
      <xdr:colOff>50525</xdr:colOff>
      <xdr:row>12</xdr:row>
      <xdr:rowOff>133512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D5754C63-CCD3-496F-B986-0D9C9C129F45}"/>
            </a:ext>
          </a:extLst>
        </xdr:cNvPr>
        <xdr:cNvCxnSpPr>
          <a:stCxn id="31" idx="7"/>
          <a:endCxn id="79" idx="1"/>
        </xdr:cNvCxnSpPr>
      </xdr:nvCxnSpPr>
      <xdr:spPr>
        <a:xfrm flipV="1">
          <a:off x="3604920" y="1707209"/>
          <a:ext cx="951344" cy="24847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165652</xdr:colOff>
      <xdr:row>8</xdr:row>
      <xdr:rowOff>24848</xdr:rowOff>
    </xdr:from>
    <xdr:to>
      <xdr:col>15</xdr:col>
      <xdr:colOff>296885</xdr:colOff>
      <xdr:row>9</xdr:row>
      <xdr:rowOff>24392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94B6B805-C779-40CA-87E8-A76ECC972030}"/>
            </a:ext>
          </a:extLst>
        </xdr:cNvPr>
        <xdr:cNvSpPr/>
      </xdr:nvSpPr>
      <xdr:spPr>
        <a:xfrm>
          <a:off x="5433391" y="1250674"/>
          <a:ext cx="131233" cy="14863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198782</xdr:colOff>
      <xdr:row>10</xdr:row>
      <xdr:rowOff>66262</xdr:rowOff>
    </xdr:from>
    <xdr:to>
      <xdr:col>15</xdr:col>
      <xdr:colOff>316440</xdr:colOff>
      <xdr:row>11</xdr:row>
      <xdr:rowOff>13182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E62E559-299E-40F6-B6AB-B9BAA2F40FD3}"/>
            </a:ext>
          </a:extLst>
        </xdr:cNvPr>
        <xdr:cNvSpPr/>
      </xdr:nvSpPr>
      <xdr:spPr>
        <a:xfrm>
          <a:off x="5466521" y="1590262"/>
          <a:ext cx="117658" cy="96007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183625</xdr:colOff>
      <xdr:row>13</xdr:row>
      <xdr:rowOff>70184</xdr:rowOff>
    </xdr:from>
    <xdr:to>
      <xdr:col>10</xdr:col>
      <xdr:colOff>200190</xdr:colOff>
      <xdr:row>15</xdr:row>
      <xdr:rowOff>124239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2E116553-D4DA-40E6-AA7B-6BED50024817}"/>
            </a:ext>
          </a:extLst>
        </xdr:cNvPr>
        <xdr:cNvCxnSpPr>
          <a:stCxn id="31" idx="4"/>
          <a:endCxn id="27" idx="0"/>
        </xdr:cNvCxnSpPr>
      </xdr:nvCxnSpPr>
      <xdr:spPr>
        <a:xfrm flipH="1">
          <a:off x="3546364" y="2058010"/>
          <a:ext cx="16565" cy="35222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183625</xdr:colOff>
      <xdr:row>16</xdr:row>
      <xdr:rowOff>95032</xdr:rowOff>
    </xdr:from>
    <xdr:to>
      <xdr:col>10</xdr:col>
      <xdr:colOff>374126</xdr:colOff>
      <xdr:row>21</xdr:row>
      <xdr:rowOff>24847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911041F-B5F8-4229-B0C3-D19E7ED7D079}"/>
            </a:ext>
          </a:extLst>
        </xdr:cNvPr>
        <xdr:cNvCxnSpPr>
          <a:stCxn id="27" idx="4"/>
          <a:endCxn id="15" idx="0"/>
        </xdr:cNvCxnSpPr>
      </xdr:nvCxnSpPr>
      <xdr:spPr>
        <a:xfrm>
          <a:off x="3546364" y="2530119"/>
          <a:ext cx="190501" cy="67525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357559</xdr:colOff>
      <xdr:row>21</xdr:row>
      <xdr:rowOff>144727</xdr:rowOff>
    </xdr:from>
    <xdr:to>
      <xdr:col>10</xdr:col>
      <xdr:colOff>374126</xdr:colOff>
      <xdr:row>27</xdr:row>
      <xdr:rowOff>41414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B0808E85-D17B-4310-B702-BE4FF59F2777}"/>
            </a:ext>
          </a:extLst>
        </xdr:cNvPr>
        <xdr:cNvCxnSpPr>
          <a:stCxn id="15" idx="4"/>
          <a:endCxn id="19" idx="0"/>
        </xdr:cNvCxnSpPr>
      </xdr:nvCxnSpPr>
      <xdr:spPr>
        <a:xfrm flipH="1">
          <a:off x="3720298" y="3325249"/>
          <a:ext cx="16567" cy="79120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332712</xdr:colOff>
      <xdr:row>28</xdr:row>
      <xdr:rowOff>12207</xdr:rowOff>
    </xdr:from>
    <xdr:to>
      <xdr:col>10</xdr:col>
      <xdr:colOff>357559</xdr:colOff>
      <xdr:row>34</xdr:row>
      <xdr:rowOff>91107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FB5F376-8FBD-4964-878F-B8113151E917}"/>
            </a:ext>
          </a:extLst>
        </xdr:cNvPr>
        <xdr:cNvCxnSpPr>
          <a:stCxn id="19" idx="4"/>
          <a:endCxn id="23" idx="0"/>
        </xdr:cNvCxnSpPr>
      </xdr:nvCxnSpPr>
      <xdr:spPr>
        <a:xfrm flipH="1">
          <a:off x="3695451" y="4236337"/>
          <a:ext cx="24847" cy="96514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331304</xdr:colOff>
      <xdr:row>35</xdr:row>
      <xdr:rowOff>61900</xdr:rowOff>
    </xdr:from>
    <xdr:to>
      <xdr:col>10</xdr:col>
      <xdr:colOff>332712</xdr:colOff>
      <xdr:row>37</xdr:row>
      <xdr:rowOff>8282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A1C0877F-C4F1-4A14-AC9A-C16925E7DD25}"/>
            </a:ext>
          </a:extLst>
        </xdr:cNvPr>
        <xdr:cNvCxnSpPr>
          <a:stCxn id="23" idx="4"/>
        </xdr:cNvCxnSpPr>
      </xdr:nvCxnSpPr>
      <xdr:spPr>
        <a:xfrm flipH="1">
          <a:off x="3694043" y="5321357"/>
          <a:ext cx="1408" cy="2611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57978</xdr:colOff>
      <xdr:row>32</xdr:row>
      <xdr:rowOff>41412</xdr:rowOff>
    </xdr:from>
    <xdr:to>
      <xdr:col>13</xdr:col>
      <xdr:colOff>306457</xdr:colOff>
      <xdr:row>34</xdr:row>
      <xdr:rowOff>121123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201C7E4-3F17-4794-8081-EDA60D00A01F}"/>
            </a:ext>
          </a:extLst>
        </xdr:cNvPr>
        <xdr:cNvSpPr txBox="1"/>
      </xdr:nvSpPr>
      <xdr:spPr>
        <a:xfrm>
          <a:off x="3801717" y="4853608"/>
          <a:ext cx="1010479" cy="37788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NUR WACHID AHMAD 6.6 KVA</a:t>
          </a:r>
        </a:p>
      </xdr:txBody>
    </xdr:sp>
    <xdr:clientData/>
  </xdr:twoCellAnchor>
  <xdr:twoCellAnchor>
    <xdr:from>
      <xdr:col>9</xdr:col>
      <xdr:colOff>57978</xdr:colOff>
      <xdr:row>35</xdr:row>
      <xdr:rowOff>16565</xdr:rowOff>
    </xdr:from>
    <xdr:to>
      <xdr:col>10</xdr:col>
      <xdr:colOff>240195</xdr:colOff>
      <xdr:row>39</xdr:row>
      <xdr:rowOff>99391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87C79055-B0D3-4C9F-8B8D-FB66030162C5}"/>
            </a:ext>
          </a:extLst>
        </xdr:cNvPr>
        <xdr:cNvSpPr/>
      </xdr:nvSpPr>
      <xdr:spPr>
        <a:xfrm>
          <a:off x="3039717" y="5276022"/>
          <a:ext cx="563217" cy="71230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CM2-12A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41413</xdr:colOff>
      <xdr:row>26</xdr:row>
      <xdr:rowOff>115957</xdr:rowOff>
    </xdr:from>
    <xdr:to>
      <xdr:col>12</xdr:col>
      <xdr:colOff>191681</xdr:colOff>
      <xdr:row>28</xdr:row>
      <xdr:rowOff>97145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8778C77-29C9-4C07-A713-07D99FE087D6}"/>
            </a:ext>
          </a:extLst>
        </xdr:cNvPr>
        <xdr:cNvSpPr/>
      </xdr:nvSpPr>
      <xdr:spPr>
        <a:xfrm>
          <a:off x="3785152" y="4041914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107674</xdr:colOff>
      <xdr:row>20</xdr:row>
      <xdr:rowOff>140804</xdr:rowOff>
    </xdr:from>
    <xdr:to>
      <xdr:col>12</xdr:col>
      <xdr:colOff>257942</xdr:colOff>
      <xdr:row>22</xdr:row>
      <xdr:rowOff>121991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DB65CBC8-2FC5-4A43-88D0-5D8162C2A843}"/>
            </a:ext>
          </a:extLst>
        </xdr:cNvPr>
        <xdr:cNvSpPr/>
      </xdr:nvSpPr>
      <xdr:spPr>
        <a:xfrm>
          <a:off x="3851413" y="3172239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298174</xdr:colOff>
      <xdr:row>15</xdr:row>
      <xdr:rowOff>107674</xdr:rowOff>
    </xdr:from>
    <xdr:to>
      <xdr:col>10</xdr:col>
      <xdr:colOff>67442</xdr:colOff>
      <xdr:row>17</xdr:row>
      <xdr:rowOff>88861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BD930D37-D16F-4727-97D9-E1C840AEC312}"/>
            </a:ext>
          </a:extLst>
        </xdr:cNvPr>
        <xdr:cNvSpPr/>
      </xdr:nvSpPr>
      <xdr:spPr>
        <a:xfrm>
          <a:off x="2898913" y="2393674"/>
          <a:ext cx="531268" cy="279361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  <a:endParaRPr lang="en-US" sz="6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33131</xdr:colOff>
      <xdr:row>11</xdr:row>
      <xdr:rowOff>16566</xdr:rowOff>
    </xdr:from>
    <xdr:to>
      <xdr:col>13</xdr:col>
      <xdr:colOff>151902</xdr:colOff>
      <xdr:row>11</xdr:row>
      <xdr:rowOff>136446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1E5416F-A4F1-4B74-9C2E-50AA14223D07}"/>
            </a:ext>
          </a:extLst>
        </xdr:cNvPr>
        <xdr:cNvGrpSpPr/>
      </xdr:nvGrpSpPr>
      <xdr:grpSpPr>
        <a:xfrm>
          <a:off x="4538870" y="1689653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6431E1C4-DE4C-928E-1B1C-482636FA36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41179D58-E516-2BED-0EA1-1BC0DC36772D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C78BB6E-8602-0FAF-36CD-44FE60FCF8E3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215348</xdr:colOff>
      <xdr:row>9</xdr:row>
      <xdr:rowOff>66261</xdr:rowOff>
    </xdr:from>
    <xdr:to>
      <xdr:col>15</xdr:col>
      <xdr:colOff>334119</xdr:colOff>
      <xdr:row>10</xdr:row>
      <xdr:rowOff>37054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4E09C435-F053-42B7-99BA-BEAD87CD7B70}"/>
            </a:ext>
          </a:extLst>
        </xdr:cNvPr>
        <xdr:cNvGrpSpPr/>
      </xdr:nvGrpSpPr>
      <xdr:grpSpPr>
        <a:xfrm>
          <a:off x="5483087" y="1441174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8C60A6CA-9595-B930-ED83-07A2ABFF7CA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317FB40F-4666-7D7F-4D3F-CC89AF19D7CF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70FC0003-EADA-063B-C807-2CB9EF9DB567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92517</xdr:colOff>
      <xdr:row>9</xdr:row>
      <xdr:rowOff>66261</xdr:rowOff>
    </xdr:from>
    <xdr:to>
      <xdr:col>15</xdr:col>
      <xdr:colOff>274734</xdr:colOff>
      <xdr:row>11</xdr:row>
      <xdr:rowOff>16566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4D43A367-6169-4E23-9D9F-4952E4B0082B}"/>
            </a:ext>
          </a:extLst>
        </xdr:cNvPr>
        <xdr:cNvCxnSpPr>
          <a:stCxn id="79" idx="0"/>
          <a:endCxn id="85" idx="0"/>
        </xdr:cNvCxnSpPr>
      </xdr:nvCxnSpPr>
      <xdr:spPr>
        <a:xfrm flipV="1">
          <a:off x="4598256" y="1441174"/>
          <a:ext cx="944217" cy="24847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274734</xdr:colOff>
      <xdr:row>8</xdr:row>
      <xdr:rowOff>82826</xdr:rowOff>
    </xdr:from>
    <xdr:to>
      <xdr:col>17</xdr:col>
      <xdr:colOff>33131</xdr:colOff>
      <xdr:row>9</xdr:row>
      <xdr:rowOff>66261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58E6B8B2-E331-4F95-8CBC-2B4EAAAACC6A}"/>
            </a:ext>
          </a:extLst>
        </xdr:cNvPr>
        <xdr:cNvCxnSpPr>
          <a:stCxn id="85" idx="0"/>
        </xdr:cNvCxnSpPr>
      </xdr:nvCxnSpPr>
      <xdr:spPr>
        <a:xfrm flipV="1">
          <a:off x="5542473" y="1308652"/>
          <a:ext cx="520397" cy="13252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125068</xdr:colOff>
      <xdr:row>13</xdr:row>
      <xdr:rowOff>52628</xdr:rowOff>
    </xdr:from>
    <xdr:to>
      <xdr:col>10</xdr:col>
      <xdr:colOff>158198</xdr:colOff>
      <xdr:row>17</xdr:row>
      <xdr:rowOff>125229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A8ADD95A-1104-47C5-8871-354F9B159106}"/>
            </a:ext>
          </a:extLst>
        </xdr:cNvPr>
        <xdr:cNvCxnSpPr>
          <a:stCxn id="31" idx="3"/>
        </xdr:cNvCxnSpPr>
      </xdr:nvCxnSpPr>
      <xdr:spPr>
        <a:xfrm flipH="1">
          <a:off x="3487807" y="2040454"/>
          <a:ext cx="33130" cy="66894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223631</xdr:colOff>
      <xdr:row>13</xdr:row>
      <xdr:rowOff>52628</xdr:rowOff>
    </xdr:from>
    <xdr:to>
      <xdr:col>10</xdr:col>
      <xdr:colOff>242181</xdr:colOff>
      <xdr:row>17</xdr:row>
      <xdr:rowOff>132522</xdr:rowOff>
    </xdr:to>
    <xdr:cxnSp macro="">
      <xdr:nvCxnSpPr>
        <xdr:cNvPr id="168" name="Straight Arrow Connector 167">
          <a:extLst>
            <a:ext uri="{FF2B5EF4-FFF2-40B4-BE49-F238E27FC236}">
              <a16:creationId xmlns:a16="http://schemas.microsoft.com/office/drawing/2014/main" id="{002BD5E8-ABD4-4B68-95D0-936D129F18EE}"/>
            </a:ext>
          </a:extLst>
        </xdr:cNvPr>
        <xdr:cNvCxnSpPr>
          <a:stCxn id="31" idx="5"/>
        </xdr:cNvCxnSpPr>
      </xdr:nvCxnSpPr>
      <xdr:spPr>
        <a:xfrm flipH="1">
          <a:off x="3586370" y="2040454"/>
          <a:ext cx="18550" cy="67624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26256</xdr:colOff>
      <xdr:row>11</xdr:row>
      <xdr:rowOff>53619</xdr:rowOff>
    </xdr:from>
    <xdr:to>
      <xdr:col>10</xdr:col>
      <xdr:colOff>158198</xdr:colOff>
      <xdr:row>12</xdr:row>
      <xdr:rowOff>133512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F909CE89-5050-4A02-93B5-EC65FDB8CB28}"/>
            </a:ext>
          </a:extLst>
        </xdr:cNvPr>
        <xdr:cNvCxnSpPr>
          <a:stCxn id="35" idx="4"/>
          <a:endCxn id="31" idx="1"/>
        </xdr:cNvCxnSpPr>
      </xdr:nvCxnSpPr>
      <xdr:spPr>
        <a:xfrm>
          <a:off x="3388995" y="1726706"/>
          <a:ext cx="131942" cy="22898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182217</xdr:colOff>
      <xdr:row>14</xdr:row>
      <xdr:rowOff>74543</xdr:rowOff>
    </xdr:from>
    <xdr:to>
      <xdr:col>13</xdr:col>
      <xdr:colOff>300988</xdr:colOff>
      <xdr:row>15</xdr:row>
      <xdr:rowOff>45336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BBC85913-1FA8-4C1A-998B-A89A0D8C8ECD}"/>
            </a:ext>
          </a:extLst>
        </xdr:cNvPr>
        <xdr:cNvGrpSpPr/>
      </xdr:nvGrpSpPr>
      <xdr:grpSpPr>
        <a:xfrm>
          <a:off x="4687956" y="2211456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5" name="Oval 174">
            <a:extLst>
              <a:ext uri="{FF2B5EF4-FFF2-40B4-BE49-F238E27FC236}">
                <a16:creationId xmlns:a16="http://schemas.microsoft.com/office/drawing/2014/main" id="{0401F4E3-F464-4D13-75B6-825E9C1848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0541CE86-1665-AF94-D947-D5FC4512D3AD}"/>
              </a:ext>
            </a:extLst>
          </xdr:cNvPr>
          <xdr:cNvCxnSpPr>
            <a:stCxn id="175" idx="1"/>
            <a:endCxn id="1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20F5F982-39F9-3373-BF4E-3C59B2BEACE0}"/>
              </a:ext>
            </a:extLst>
          </xdr:cNvPr>
          <xdr:cNvCxnSpPr>
            <a:stCxn id="175" idx="3"/>
            <a:endCxn id="1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266451</xdr:colOff>
      <xdr:row>15</xdr:row>
      <xdr:rowOff>45336</xdr:rowOff>
    </xdr:from>
    <xdr:to>
      <xdr:col>13</xdr:col>
      <xdr:colOff>314739</xdr:colOff>
      <xdr:row>16</xdr:row>
      <xdr:rowOff>82826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425ADD5E-D07C-4FAB-8AC5-FF22225C9663}"/>
            </a:ext>
          </a:extLst>
        </xdr:cNvPr>
        <xdr:cNvCxnSpPr/>
      </xdr:nvCxnSpPr>
      <xdr:spPr>
        <a:xfrm>
          <a:off x="4772190" y="2331336"/>
          <a:ext cx="48288" cy="18657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92517</xdr:colOff>
      <xdr:row>11</xdr:row>
      <xdr:rowOff>136446</xdr:rowOff>
    </xdr:from>
    <xdr:to>
      <xdr:col>13</xdr:col>
      <xdr:colOff>241603</xdr:colOff>
      <xdr:row>14</xdr:row>
      <xdr:rowOff>74543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381E59D9-EA80-4FFE-ACA2-6B4AD214B26C}"/>
            </a:ext>
          </a:extLst>
        </xdr:cNvPr>
        <xdr:cNvCxnSpPr>
          <a:stCxn id="79" idx="4"/>
          <a:endCxn id="175" idx="0"/>
        </xdr:cNvCxnSpPr>
      </xdr:nvCxnSpPr>
      <xdr:spPr>
        <a:xfrm>
          <a:off x="4598256" y="1809533"/>
          <a:ext cx="149086" cy="40192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200190</xdr:colOff>
      <xdr:row>11</xdr:row>
      <xdr:rowOff>136446</xdr:rowOff>
    </xdr:from>
    <xdr:to>
      <xdr:col>13</xdr:col>
      <xdr:colOff>92517</xdr:colOff>
      <xdr:row>13</xdr:row>
      <xdr:rowOff>70184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9BBC3A37-261A-4941-8271-8EE27ED1657D}"/>
            </a:ext>
          </a:extLst>
        </xdr:cNvPr>
        <xdr:cNvCxnSpPr>
          <a:stCxn id="31" idx="4"/>
          <a:endCxn id="79" idx="4"/>
        </xdr:cNvCxnSpPr>
      </xdr:nvCxnSpPr>
      <xdr:spPr>
        <a:xfrm flipV="1">
          <a:off x="3562929" y="1809533"/>
          <a:ext cx="1035327" cy="24847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134508</xdr:colOff>
      <xdr:row>10</xdr:row>
      <xdr:rowOff>19498</xdr:rowOff>
    </xdr:from>
    <xdr:to>
      <xdr:col>15</xdr:col>
      <xdr:colOff>232742</xdr:colOff>
      <xdr:row>11</xdr:row>
      <xdr:rowOff>118890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790F6D9-99B3-4FA6-9DCC-7F030374E8B9}"/>
            </a:ext>
          </a:extLst>
        </xdr:cNvPr>
        <xdr:cNvCxnSpPr>
          <a:stCxn id="79" idx="5"/>
          <a:endCxn id="85" idx="3"/>
        </xdr:cNvCxnSpPr>
      </xdr:nvCxnSpPr>
      <xdr:spPr>
        <a:xfrm flipV="1">
          <a:off x="4640247" y="1543498"/>
          <a:ext cx="860234" cy="24847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50981</xdr:colOff>
      <xdr:row>10</xdr:row>
      <xdr:rowOff>6269</xdr:rowOff>
    </xdr:from>
    <xdr:to>
      <xdr:col>15</xdr:col>
      <xdr:colOff>45279</xdr:colOff>
      <xdr:row>11</xdr:row>
      <xdr:rowOff>94664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52DBAF06-C84D-4368-A180-9A7F1A23DFFA}"/>
            </a:ext>
          </a:extLst>
        </xdr:cNvPr>
        <xdr:cNvSpPr/>
      </xdr:nvSpPr>
      <xdr:spPr>
        <a:xfrm rot="20210033">
          <a:off x="4937720" y="1530269"/>
          <a:ext cx="375298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11</xdr:col>
      <xdr:colOff>82826</xdr:colOff>
      <xdr:row>11</xdr:row>
      <xdr:rowOff>140804</xdr:rowOff>
    </xdr:from>
    <xdr:to>
      <xdr:col>12</xdr:col>
      <xdr:colOff>77124</xdr:colOff>
      <xdr:row>13</xdr:row>
      <xdr:rowOff>63547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1CE89D5B-E617-42D1-8C0E-0FC8B38042B2}"/>
            </a:ext>
          </a:extLst>
        </xdr:cNvPr>
        <xdr:cNvSpPr/>
      </xdr:nvSpPr>
      <xdr:spPr>
        <a:xfrm rot="20210033">
          <a:off x="3826565" y="1813891"/>
          <a:ext cx="375298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242843</xdr:colOff>
      <xdr:row>23</xdr:row>
      <xdr:rowOff>105026</xdr:rowOff>
    </xdr:from>
    <xdr:to>
      <xdr:col>11</xdr:col>
      <xdr:colOff>99325</xdr:colOff>
      <xdr:row>26</xdr:row>
      <xdr:rowOff>33063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82548C2A-1280-4599-95F2-148AE580FD36}"/>
            </a:ext>
          </a:extLst>
        </xdr:cNvPr>
        <xdr:cNvSpPr/>
      </xdr:nvSpPr>
      <xdr:spPr>
        <a:xfrm rot="5400000">
          <a:off x="3536674" y="3652630"/>
          <a:ext cx="375298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237873</xdr:colOff>
      <xdr:row>29</xdr:row>
      <xdr:rowOff>124905</xdr:rowOff>
    </xdr:from>
    <xdr:to>
      <xdr:col>11</xdr:col>
      <xdr:colOff>94355</xdr:colOff>
      <xdr:row>32</xdr:row>
      <xdr:rowOff>61224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3A1BF4F1-46AE-45AA-A665-E261FD00F5BC}"/>
            </a:ext>
          </a:extLst>
        </xdr:cNvPr>
        <xdr:cNvSpPr/>
      </xdr:nvSpPr>
      <xdr:spPr>
        <a:xfrm rot="5400000">
          <a:off x="3531704" y="4567030"/>
          <a:ext cx="375298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190501</xdr:colOff>
      <xdr:row>18</xdr:row>
      <xdr:rowOff>74544</xdr:rowOff>
    </xdr:from>
    <xdr:to>
      <xdr:col>11</xdr:col>
      <xdr:colOff>46983</xdr:colOff>
      <xdr:row>21</xdr:row>
      <xdr:rowOff>2581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3CA11D50-A769-4CC8-A0E5-3F6FAF0447CD}"/>
            </a:ext>
          </a:extLst>
        </xdr:cNvPr>
        <xdr:cNvSpPr/>
      </xdr:nvSpPr>
      <xdr:spPr>
        <a:xfrm rot="4308225">
          <a:off x="3484332" y="2876713"/>
          <a:ext cx="375298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0</xdr:colOff>
      <xdr:row>6</xdr:row>
      <xdr:rowOff>99391</xdr:rowOff>
    </xdr:from>
    <xdr:to>
      <xdr:col>13</xdr:col>
      <xdr:colOff>140804</xdr:colOff>
      <xdr:row>10</xdr:row>
      <xdr:rowOff>115957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78E80E0-565D-4C32-9017-0E9BC2F5C90E}"/>
            </a:ext>
          </a:extLst>
        </xdr:cNvPr>
        <xdr:cNvSpPr/>
      </xdr:nvSpPr>
      <xdr:spPr>
        <a:xfrm>
          <a:off x="4124739" y="1027043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CE1-3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F1-3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</a:p>
      </xdr:txBody>
    </xdr:sp>
    <xdr:clientData/>
  </xdr:twoCellAnchor>
  <xdr:twoCellAnchor>
    <xdr:from>
      <xdr:col>9</xdr:col>
      <xdr:colOff>298174</xdr:colOff>
      <xdr:row>8</xdr:row>
      <xdr:rowOff>16565</xdr:rowOff>
    </xdr:from>
    <xdr:to>
      <xdr:col>11</xdr:col>
      <xdr:colOff>67442</xdr:colOff>
      <xdr:row>12</xdr:row>
      <xdr:rowOff>82826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16CA3D19-A147-4911-BAF3-8CA46D4E9368}"/>
            </a:ext>
          </a:extLst>
        </xdr:cNvPr>
        <xdr:cNvSpPr/>
      </xdr:nvSpPr>
      <xdr:spPr>
        <a:xfrm>
          <a:off x="3279913" y="1242391"/>
          <a:ext cx="531268" cy="6626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CE1-3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F1-3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16</xdr:col>
      <xdr:colOff>24848</xdr:colOff>
      <xdr:row>5</xdr:row>
      <xdr:rowOff>41414</xdr:rowOff>
    </xdr:from>
    <xdr:to>
      <xdr:col>17</xdr:col>
      <xdr:colOff>175116</xdr:colOff>
      <xdr:row>9</xdr:row>
      <xdr:rowOff>107675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7C331EE8-B314-4692-8E40-869D1097AC45}"/>
            </a:ext>
          </a:extLst>
        </xdr:cNvPr>
        <xdr:cNvSpPr/>
      </xdr:nvSpPr>
      <xdr:spPr>
        <a:xfrm>
          <a:off x="5673587" y="819979"/>
          <a:ext cx="531268" cy="662609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CG312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M8-01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27</xdr:col>
      <xdr:colOff>215348</xdr:colOff>
      <xdr:row>50</xdr:row>
      <xdr:rowOff>182217</xdr:rowOff>
    </xdr:from>
    <xdr:to>
      <xdr:col>27</xdr:col>
      <xdr:colOff>291548</xdr:colOff>
      <xdr:row>52</xdr:row>
      <xdr:rowOff>22801</xdr:rowOff>
    </xdr:to>
    <xdr:sp macro="" textlink="">
      <xdr:nvSpPr>
        <xdr:cNvPr id="164" name="Freeform: Shape 163">
          <a:extLst>
            <a:ext uri="{FF2B5EF4-FFF2-40B4-BE49-F238E27FC236}">
              <a16:creationId xmlns:a16="http://schemas.microsoft.com/office/drawing/2014/main" id="{8B2BE6A4-C4F9-4F56-BBAA-74C59C0C8CD5}"/>
            </a:ext>
          </a:extLst>
        </xdr:cNvPr>
        <xdr:cNvSpPr/>
      </xdr:nvSpPr>
      <xdr:spPr>
        <a:xfrm>
          <a:off x="10154478" y="7727674"/>
          <a:ext cx="76200" cy="238149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41413</xdr:colOff>
      <xdr:row>52</xdr:row>
      <xdr:rowOff>24848</xdr:rowOff>
    </xdr:from>
    <xdr:to>
      <xdr:col>28</xdr:col>
      <xdr:colOff>98563</xdr:colOff>
      <xdr:row>53</xdr:row>
      <xdr:rowOff>41010</xdr:rowOff>
    </xdr:to>
    <xdr:sp macro="" textlink="">
      <xdr:nvSpPr>
        <xdr:cNvPr id="165" name="Freeform: Shape 164">
          <a:extLst>
            <a:ext uri="{FF2B5EF4-FFF2-40B4-BE49-F238E27FC236}">
              <a16:creationId xmlns:a16="http://schemas.microsoft.com/office/drawing/2014/main" id="{30D06F89-0EC9-4CA7-B2F4-878FA069C34D}"/>
            </a:ext>
          </a:extLst>
        </xdr:cNvPr>
        <xdr:cNvSpPr/>
      </xdr:nvSpPr>
      <xdr:spPr>
        <a:xfrm>
          <a:off x="10361543" y="7967870"/>
          <a:ext cx="57150" cy="1652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450272</xdr:colOff>
      <xdr:row>8</xdr:row>
      <xdr:rowOff>17319</xdr:rowOff>
    </xdr:from>
    <xdr:to>
      <xdr:col>20</xdr:col>
      <xdr:colOff>86591</xdr:colOff>
      <xdr:row>52</xdr:row>
      <xdr:rowOff>124470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3BCBB1-61A5-6894-7BA5-2E3FAE9F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727" y="1420092"/>
          <a:ext cx="9940637" cy="69651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1134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42</v>
      </c>
      <c r="E7" s="522" t="s">
        <v>43</v>
      </c>
      <c r="F7" s="522" t="s">
        <v>1135</v>
      </c>
      <c r="G7" s="523" t="s">
        <v>41</v>
      </c>
      <c r="H7" s="519" t="s">
        <v>1042</v>
      </c>
      <c r="I7" s="519" t="s">
        <v>1137</v>
      </c>
      <c r="J7" s="519" t="s">
        <v>1026</v>
      </c>
      <c r="K7" s="513" t="s">
        <v>1024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6.6 kVA MCCB 10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3x70+1x70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250</v>
      </c>
      <c r="G13" s="41">
        <f ca="1">IF(ISERROR(OFFSET('HARGA SATUAN'!$I$6,MATCH(C13,'HARGA SATUAN'!$C$7:$C$1492,0),0)),"",OFFSET('HARGA SATUAN'!$I$6,MATCH(C13,'HARGA SATUAN'!$C$7:$C$1492,0),0))</f>
        <v>54500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KWH MPB; 3P; 4W; 230/400 V; 5(80) A; Class 1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1719200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SUMIFS(RAB!$F$14:$F$88,RAB!$C$14:$C$88,C714)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SUMIFS(RAB!$F$14:$F$88,RAB!$C$14:$C$88,C715)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SUMIFS(RAB!$F$14:$F$88,RAB!$C$14:$C$88,C716)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SUMIFS(RAB!$F$14:$F$88,RAB!$C$14:$C$88,C717)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SUMIFS(RAB!$F$14:$F$88,RAB!$C$14:$C$88,C718)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SUMIFS(RAB!$F$14:$F$88,RAB!$C$14:$C$88,C719)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SUMIFS(RAB!$F$14:$F$88,RAB!$C$14:$C$88,C720)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SUMIFS(RAB!$F$14:$F$88,RAB!$C$14:$C$88,C721)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SUMIFS(RAB!$F$14:$F$88,RAB!$C$14:$C$88,C722)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SUMIFS(RAB!$F$14:$F$88,RAB!$C$14:$C$88,C723)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SUMIFS(RAB!$F$14:$F$88,RAB!$C$14:$C$88,C724)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SUMIFS(RAB!$F$14:$F$88,RAB!$C$14:$C$88,C725)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SUMIFS(RAB!$F$14:$F$88,RAB!$C$14:$C$88,C726)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SUMIFS(RAB!$F$14:$F$88,RAB!$C$14:$C$88,C727)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SUMIFS(RAB!$F$14:$F$88,RAB!$C$14:$C$88,C728)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SUMIFS(RAB!$F$14:$F$88,RAB!$C$14:$C$88,C729)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SUMIFS(RAB!$F$14:$F$88,RAB!$C$14:$C$88,C730)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SUMIFS(RAB!$F$14:$F$88,RAB!$C$14:$C$88,C731)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SUMIFS(RAB!$F$14:$F$88,RAB!$C$14:$C$88,C732)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SUMIFS(RAB!$F$14:$F$88,RAB!$C$14:$C$88,C733)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SUMIFS(RAB!$F$14:$F$88,RAB!$C$14:$C$88,C734)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SUMIFS(RAB!$F$14:$F$88,RAB!$C$14:$C$88,C735)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SUMIFS(RAB!$F$14:$F$88,RAB!$C$14:$C$88,C736)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SUMIFS(RAB!$F$14:$F$88,RAB!$C$14:$C$88,C737)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SUMIFS(RAB!$F$14:$F$88,RAB!$C$14:$C$88,C738)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SUMIFS(RAB!$F$14:$F$88,RAB!$C$14:$C$88,C739)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SUMIFS(RAB!$F$14:$F$88,RAB!$C$14:$C$88,C740)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SUMIFS(RAB!$F$14:$F$88,RAB!$C$14:$C$88,C741)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SUMIFS(RAB!$F$14:$F$88,RAB!$C$14:$C$88,C742)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SUMIFS(RAB!$F$14:$F$88,RAB!$C$14:$C$88,C743)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SUMIFS(RAB!$F$14:$F$88,RAB!$C$14:$C$88,C744)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SUMIFS(RAB!$F$14:$F$88,RAB!$C$14:$C$88,C745)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SUMIFS(RAB!$F$14:$F$88,RAB!$C$14:$C$88,C746)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SUMIFS(RAB!$F$14:$F$88,RAB!$C$14:$C$88,C747)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SUMIFS(RAB!$F$14:$F$88,RAB!$C$14:$C$88,C748)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SUMIFS(RAB!$F$14:$F$88,RAB!$C$14:$C$88,C749)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SUMIFS(RAB!$F$14:$F$88,RAB!$C$14:$C$88,C750)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SUMIFS(RAB!$F$14:$F$88,RAB!$C$14:$C$88,C751)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SUMIFS(RAB!$F$14:$F$88,RAB!$C$14:$C$88,C752)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SUMIFS(RAB!$F$14:$F$88,RAB!$C$14:$C$88,C753)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SUMIFS(RAB!$F$14:$F$88,RAB!$C$14:$C$88,C754)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SUMIFS(RAB!$F$14:$F$88,RAB!$C$14:$C$88,C755)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SUMIFS(RAB!$F$14:$F$88,RAB!$C$14:$C$88,C756)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SUMIFS(RAB!$F$14:$F$88,RAB!$C$14:$C$88,C757)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SUMIFS(RAB!$F$14:$F$88,RAB!$C$14:$C$88,C758)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SUMIFS(RAB!$F$14:$F$88,RAB!$C$14:$C$88,C759)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SUMIFS(RAB!$F$14:$F$88,RAB!$C$14:$C$88,C760)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SUMIFS(RAB!$F$14:$F$88,RAB!$C$14:$C$88,C761)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SUMIFS(RAB!$F$14:$F$88,RAB!$C$14:$C$88,C762)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SUMIFS(RAB!$F$14:$F$88,RAB!$C$14:$C$88,C763)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SUMIFS(RAB!$F$14:$F$88,RAB!$C$14:$C$88,C764)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SUMIFS(RAB!$F$14:$F$88,RAB!$C$14:$C$88,C765)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SUMIFS(RAB!$F$14:$F$88,RAB!$C$14:$C$88,C766)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SUMIFS(RAB!$F$14:$F$88,RAB!$C$14:$C$88,C767)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SUMIFS(RAB!$F$14:$F$88,RAB!$C$14:$C$88,C768)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SUMIFS(RAB!$F$14:$F$88,RAB!$C$14:$C$88,C769)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SUMIFS(RAB!$F$14:$F$88,RAB!$C$14:$C$88,C770)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SUMIFS(RAB!$F$14:$F$88,RAB!$C$14:$C$88,C771)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SUMIFS(RAB!$F$14:$F$88,RAB!$C$14:$C$88,C772)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SUMIFS(RAB!$F$14:$F$88,RAB!$C$14:$C$88,C773)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SUMIFS(RAB!$F$14:$F$88,RAB!$C$14:$C$88,C774)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SUMIFS(RAB!$F$14:$F$88,RAB!$C$14:$C$88,C775)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SUMIFS(RAB!$F$14:$F$88,RAB!$C$14:$C$88,C776)</f>
        <v>1</v>
      </c>
      <c r="E776" s="26">
        <f t="shared" ca="1" si="33"/>
        <v>1</v>
      </c>
      <c r="F776" s="26">
        <f ca="1">IF(D776=0,0,SUM($E$713:E776))</f>
        <v>1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SUMIFS(RAB!$F$14:$F$88,RAB!$C$14:$C$88,C777)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SUMIFS(RAB!$F$14:$F$88,RAB!$C$14:$C$88,C778)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SUMIFS(RAB!$F$14:$F$88,RAB!$C$14:$C$88,C779)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SUMIFS(RAB!$F$14:$F$88,RAB!$C$14:$C$88,C780)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SUMIFS(RAB!$F$14:$F$88,RAB!$C$14:$C$88,C781)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SUMIFS(RAB!$F$14:$F$88,RAB!$C$14:$C$88,C782)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SUMIFS(RAB!$F$14:$F$88,RAB!$C$14:$C$88,C783)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SUMIFS(RAB!$F$14:$F$88,RAB!$C$14:$C$88,C784)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SUMIFS(RAB!$F$14:$F$88,RAB!$C$14:$C$88,C785)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SUMIFS(RAB!$F$14:$F$88,RAB!$C$14:$C$88,C786)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SUMIFS(RAB!$F$14:$F$88,RAB!$C$14:$C$88,C787)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SUMIFS(RAB!$F$14:$F$88,RAB!$C$14:$C$88,C788)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SUMIFS(RAB!$F$14:$F$88,RAB!$C$14:$C$88,C789)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SUMIFS(RAB!$F$14:$F$88,RAB!$C$14:$C$88,C790)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SUMIFS(RAB!$F$14:$F$88,RAB!$C$14:$C$88,C791)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SUMIFS(RAB!$F$14:$F$88,RAB!$C$14:$C$88,C792)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SUMIFS(RAB!$F$14:$F$88,RAB!$C$14:$C$88,C793)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SUMIFS(RAB!$F$14:$F$88,RAB!$C$14:$C$88,C794)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SUMIFS(RAB!$F$14:$F$88,RAB!$C$14:$C$88,C795)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SUMIFS(RAB!$F$14:$F$88,RAB!$C$14:$C$88,C796)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SUMIFS(RAB!$F$14:$F$88,RAB!$C$14:$C$88,C797)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SUMIFS(RAB!$F$14:$F$88,RAB!$C$14:$C$88,C798)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SUMIFS(RAB!$F$14:$F$88,RAB!$C$14:$C$88,C799)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SUMIFS(RAB!$F$14:$F$88,RAB!$C$14:$C$88,C800)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SUMIFS(RAB!$F$14:$F$88,RAB!$C$14:$C$88,C801)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SUMIFS(RAB!$F$14:$F$88,RAB!$C$14:$C$88,C802)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SUMIFS(RAB!$F$14:$F$88,RAB!$C$14:$C$88,C803)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SUMIFS(RAB!$F$14:$F$88,RAB!$C$14:$C$88,C804)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SUMIFS(RAB!$F$14:$F$88,RAB!$C$14:$C$88,C805)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SUMIFS(RAB!$F$14:$F$88,RAB!$C$14:$C$88,C806)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SUMIFS(RAB!$F$14:$F$88,RAB!$C$14:$C$88,C807)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SUMIFS(RAB!$F$14:$F$88,RAB!$C$14:$C$88,C808)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SUMIFS(RAB!$F$14:$F$88,RAB!$C$14:$C$88,C809)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SUMIFS(RAB!$F$14:$F$88,RAB!$C$14:$C$88,C810)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SUMIFS(RAB!$F$14:$F$88,RAB!$C$14:$C$88,C811)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SUMIFS(RAB!$F$14:$F$88,RAB!$C$14:$C$88,C812)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SUMIFS(RAB!$F$14:$F$88,RAB!$C$14:$C$88,C813)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SUMIFS(RAB!$F$14:$F$88,RAB!$C$14:$C$88,C814)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SUMIFS(RAB!$F$14:$F$88,RAB!$C$14:$C$88,C815)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SUMIFS(RAB!$F$14:$F$88,RAB!$C$14:$C$88,C816)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SUMIFS(RAB!$F$14:$F$88,RAB!$C$14:$C$88,C817)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SUMIFS(RAB!$F$14:$F$88,RAB!$C$14:$C$88,C818)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SUMIFS(RAB!$F$14:$F$88,RAB!$C$14:$C$88,C819)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SUMIFS(RAB!$F$14:$F$88,RAB!$C$14:$C$88,C820)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SUMIFS(RAB!$F$14:$F$88,RAB!$C$14:$C$88,C821)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SUMIFS(RAB!$F$14:$F$88,RAB!$C$14:$C$88,C822)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SUMIFS(RAB!$F$14:$F$88,RAB!$C$14:$C$88,C823)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SUMIFS(RAB!$F$14:$F$88,RAB!$C$14:$C$88,C824)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SUMIFS(RAB!$F$14:$F$88,RAB!$C$14:$C$88,C825)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SUMIFS(RAB!$F$14:$F$88,RAB!$C$14:$C$88,C826)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SUMIFS(RAB!$F$14:$F$88,RAB!$C$14:$C$88,C827)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SUMIFS(RAB!$F$14:$F$88,RAB!$C$14:$C$88,C828)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SUMIFS(RAB!$F$14:$F$88,RAB!$C$14:$C$88,C829)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SUMIFS(RAB!$F$14:$F$88,RAB!$C$14:$C$88,C830)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SUMIFS(RAB!$F$14:$F$88,RAB!$C$14:$C$88,C831)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SUMIFS(RAB!$F$14:$F$88,RAB!$C$14:$C$88,C832)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SUMIFS(RAB!$F$14:$F$88,RAB!$C$14:$C$88,C833)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SUMIFS(RAB!$F$14:$F$88,RAB!$C$14:$C$88,C834)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SUMIFS(RAB!$F$14:$F$88,RAB!$C$14:$C$88,C835)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SUMIFS(RAB!$F$14:$F$88,RAB!$C$14:$C$88,C836)</f>
        <v>250</v>
      </c>
      <c r="E836" s="26">
        <f t="shared" ca="1" si="34"/>
        <v>1</v>
      </c>
      <c r="F836" s="26">
        <f ca="1">IF(D836=0,0,SUM($E$713:E836))</f>
        <v>2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SUMIFS(RAB!$F$14:$F$88,RAB!$C$14:$C$88,C837)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SUMIFS(RAB!$F$14:$F$88,RAB!$C$14:$C$88,C838)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SUMIFS(RAB!$F$14:$F$88,RAB!$C$14:$C$88,C839)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SUMIFS(RAB!$F$14:$F$88,RAB!$C$14:$C$88,C840)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SUMIFS(RAB!$F$14:$F$88,RAB!$C$14:$C$88,C841)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SUMIFS(RAB!$F$14:$F$88,RAB!$C$14:$C$88,C842)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SUMIFS(RAB!$F$14:$F$88,RAB!$C$14:$C$88,C843)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SUMIFS(RAB!$F$14:$F$88,RAB!$C$14:$C$88,C844)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SUMIFS(RAB!$F$14:$F$88,RAB!$C$14:$C$88,C845)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SUMIFS(RAB!$F$14:$F$88,RAB!$C$14:$C$88,C846)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SUMIFS(RAB!$F$14:$F$88,RAB!$C$14:$C$88,C847)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SUMIFS(RAB!$F$14:$F$88,RAB!$C$14:$C$88,C848)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SUMIFS(RAB!$F$14:$F$88,RAB!$C$14:$C$88,C849)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SUMIFS(RAB!$F$14:$F$88,RAB!$C$14:$C$88,C850)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SUMIFS(RAB!$F$14:$F$88,RAB!$C$14:$C$88,C851)</f>
        <v>1</v>
      </c>
      <c r="E851" s="26">
        <f t="shared" ca="1" si="35"/>
        <v>1</v>
      </c>
      <c r="F851" s="26">
        <f ca="1">IF(D851=0,0,SUM($E$713:E851))</f>
        <v>3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SUMIFS(RAB!$F$14:$F$88,RAB!$C$14:$C$88,C852)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SUMIFS(RAB!$F$14:$F$88,RAB!$C$14:$C$88,C853)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SUMIFS(RAB!$F$14:$F$88,RAB!$C$14:$C$88,C854)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SUMIFS(RAB!$F$14:$F$88,RAB!$C$14:$C$88,C855)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SUMIFS(RAB!$F$14:$F$88,RAB!$C$14:$C$88,C856)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SUMIFS(RAB!$F$14:$F$88,RAB!$C$14:$C$88,C857)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SUMIFS(RAB!$F$14:$F$88,RAB!$C$14:$C$88,C858)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SUMIFS(RAB!$F$14:$F$88,RAB!$C$14:$C$88,C859)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SUMIFS(RAB!$F$14:$F$88,RAB!$C$14:$C$88,C860)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SUMIFS(RAB!$F$14:$F$88,RAB!$C$14:$C$88,C861)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SUMIFS(RAB!$F$14:$F$88,RAB!$C$14:$C$88,C862)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SUMIFS(RAB!$F$14:$F$88,RAB!$C$14:$C$88,C863)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SUMIFS(RAB!$F$14:$F$88,RAB!$C$14:$C$88,C864)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SUMIFS(RAB!$F$14:$F$88,RAB!$C$14:$C$88,C865)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SUMIFS(RAB!$F$14:$F$88,RAB!$C$14:$C$88,C866)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SUMIFS(RAB!$F$14:$F$88,RAB!$C$14:$C$88,C867)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SUMIFS(RAB!$F$14:$F$88,RAB!$C$14:$C$88,C868)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SUMIFS(RAB!$F$14:$F$88,RAB!$C$14:$C$88,C869)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SUMIFS(RAB!$F$14:$F$88,RAB!$C$14:$C$88,C870)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SUMIFS(RAB!$F$14:$F$88,RAB!$C$14:$C$88,C871)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SUMIFS(RAB!$F$14:$F$88,RAB!$C$14:$C$88,C872)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SUMIFS(RAB!$F$14:$F$88,RAB!$C$14:$C$88,C873)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SUMIFS(RAB!$F$14:$F$88,RAB!$C$14:$C$88,C874)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SUMIFS(RAB!$F$14:$F$88,RAB!$C$14:$C$88,C875)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SUMIFS(RAB!$F$14:$F$88,RAB!$C$14:$C$88,C876)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SUMIFS(RAB!$F$14:$F$88,RAB!$C$14:$C$88,C877)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SUMIFS(RAB!$F$14:$F$88,RAB!$C$14:$C$88,C878)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SUMIFS(RAB!$F$14:$F$88,RAB!$C$14:$C$88,C879)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SUMIFS(RAB!$F$14:$F$88,RAB!$C$14:$C$88,C880)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SUMIFS(RAB!$F$14:$F$88,RAB!$C$14:$C$88,C881)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SUMIFS(RAB!$F$14:$F$88,RAB!$C$14:$C$88,C882)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SUMIFS(RAB!$F$14:$F$88,RAB!$C$14:$C$88,C883)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SUMIFS(RAB!$F$14:$F$88,RAB!$C$14:$C$88,C884)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SUMIFS(RAB!$F$14:$F$88,RAB!$C$14:$C$88,C885)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SUMIFS(RAB!$F$14:$F$88,RAB!$C$14:$C$88,C886)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SUMIFS(RAB!$F$14:$F$88,RAB!$C$14:$C$88,C887)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SUMIFS(RAB!$F$14:$F$88,RAB!$C$14:$C$88,C888)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SUMIFS(RAB!$F$14:$F$88,RAB!$C$14:$C$88,C889)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SUMIFS(RAB!$F$14:$F$88,RAB!$C$14:$C$88,C890)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SUMIFS(RAB!$F$14:$F$88,RAB!$C$14:$C$88,C891)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SUMIFS(RAB!$F$14:$F$88,RAB!$C$14:$C$88,C892)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SUMIFS(RAB!$F$14:$F$88,RAB!$C$14:$C$88,C893)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SUMIFS(RAB!$F$14:$F$88,RAB!$C$14:$C$88,C894)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SUMIFS(RAB!$F$14:$F$88,RAB!$C$14:$C$88,C895)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SUMIFS(RAB!$F$14:$F$88,RAB!$C$14:$C$88,C896)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SUMIFS(RAB!$F$14:$F$88,RAB!$C$14:$C$88,C897)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SUMIFS(RAB!$F$14:$F$88,RAB!$C$14:$C$88,C898)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SUMIFS(RAB!$F$14:$F$88,RAB!$C$14:$C$88,C899)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SUMIFS(RAB!$F$14:$F$88,RAB!$C$14:$C$88,C900)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SUMIFS(RAB!$F$14:$F$88,RAB!$C$14:$C$88,C901)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SUMIFS(RAB!$F$14:$F$88,RAB!$C$14:$C$88,C902)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SUMIFS(RAB!$F$14:$F$88,RAB!$C$14:$C$88,C903)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SUMIFS(RAB!$F$14:$F$88,RAB!$C$14:$C$88,C904)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SUMIFS(RAB!$F$14:$F$88,RAB!$C$14:$C$88,C905)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SUMIFS(RAB!$F$14:$F$88,RAB!$C$14:$C$88,C906)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SUMIFS(RAB!$F$14:$F$88,RAB!$C$14:$C$88,C907)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SUMIFS(RAB!$F$14:$F$88,RAB!$C$14:$C$88,C908)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SUMIFS(RAB!$F$14:$F$88,RAB!$C$14:$C$88,C909)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SUMIFS(RAB!$F$14:$F$88,RAB!$C$14:$C$88,C910)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SUMIFS(RAB!$F$14:$F$88,RAB!$C$14:$C$88,C911)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SUMIFS(RAB!$F$14:$F$88,RAB!$C$14:$C$88,C912)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SUMIFS(RAB!$F$14:$F$88,RAB!$C$14:$C$88,C913)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SUMIFS(RAB!$F$14:$F$88,RAB!$C$14:$C$88,C914)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SUMIFS(RAB!$F$14:$F$88,RAB!$C$14:$C$88,C915)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SUMIFS(RAB!$F$14:$F$88,RAB!$C$14:$C$88,C916)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SUMIFS(RAB!$F$14:$F$88,RAB!$C$14:$C$88,C917)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SUMIFS(RAB!$F$14:$F$88,RAB!$C$14:$C$88,C918)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SUMIFS(RAB!$F$14:$F$88,RAB!$C$14:$C$88,C919)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SUMIFS(RAB!$F$14:$F$88,RAB!$C$14:$C$88,C920)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SUMIFS(RAB!$F$14:$F$88,RAB!$C$14:$C$88,C921)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SUMIFS(RAB!$F$14:$F$88,RAB!$C$14:$C$88,C922)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SUMIFS(RAB!$F$14:$F$88,RAB!$C$14:$C$88,C923)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SUMIFS(RAB!$F$14:$F$88,RAB!$C$14:$C$88,C924)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SUMIFS(RAB!$F$14:$F$88,RAB!$C$14:$C$88,C925)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SUMIFS(RAB!$F$14:$F$88,RAB!$C$14:$C$88,C926)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SUMIFS(RAB!$F$14:$F$88,RAB!$C$14:$C$88,C927)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SUMIFS(RAB!$F$14:$F$88,RAB!$C$14:$C$88,C928)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SUMIFS(RAB!$F$14:$F$88,RAB!$C$14:$C$88,C929)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SUMIFS(RAB!$F$14:$F$88,RAB!$C$14:$C$88,C930)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SUMIFS(RAB!$F$14:$F$88,RAB!$C$14:$C$88,C931)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SUMIFS(RAB!$F$14:$F$88,RAB!$C$14:$C$88,C932)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SUMIFS(RAB!$F$14:$F$88,RAB!$C$14:$C$88,C933)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SUMIFS(RAB!$F$14:$F$88,RAB!$C$14:$C$88,C934)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SUMIFS(RAB!$F$14:$F$88,RAB!$C$14:$C$88,C935)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SUMIFS(RAB!$F$14:$F$88,RAB!$C$14:$C$88,C936)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SUMIFS(RAB!$F$14:$F$88,RAB!$C$14:$C$88,C937)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SUMIFS(RAB!$F$14:$F$88,RAB!$C$14:$C$88,C938)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SUMIFS(RAB!$F$14:$F$88,RAB!$C$14:$C$88,C939)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SUMIFS(RAB!$F$14:$F$88,RAB!$C$14:$C$88,C940)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SUMIFS(RAB!$F$14:$F$88,RAB!$C$14:$C$88,C941)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SUMIFS(RAB!$F$14:$F$88,RAB!$C$14:$C$88,C942)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SUMIFS(RAB!$F$14:$F$88,RAB!$C$14:$C$88,C943)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SUMIFS(RAB!$F$14:$F$88,RAB!$C$14:$C$88,C944)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SUMIFS(RAB!$F$14:$F$88,RAB!$C$14:$C$88,C945)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SUMIFS(RAB!$F$14:$F$88,RAB!$C$14:$C$88,C946)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SUMIFS(RAB!$F$14:$F$88,RAB!$C$14:$C$88,C947)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SUMIFS(RAB!$F$14:$F$88,RAB!$C$14:$C$88,C948)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SUMIFS(RAB!$F$14:$F$88,RAB!$C$14:$C$88,C949)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SUMIFS(RAB!$F$14:$F$88,RAB!$C$14:$C$88,C950)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SUMIFS(RAB!$F$14:$F$88,RAB!$C$14:$C$88,C951)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SUMIFS(RAB!$F$14:$F$88,RAB!$C$14:$C$88,C952)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SUMIFS(RAB!$F$14:$F$88,RAB!$C$14:$C$88,C953)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SUMIFS(RAB!$F$14:$F$88,RAB!$C$14:$C$88,C954)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SUMIFS(RAB!$F$14:$F$88,RAB!$C$14:$C$88,C955)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SUMIFS(RAB!$F$14:$F$88,RAB!$C$14:$C$88,C956)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SUMIFS(RAB!$F$14:$F$88,RAB!$C$14:$C$88,C957)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SUMIFS(RAB!$F$14:$F$88,RAB!$C$14:$C$88,C958)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SUMIFS(RAB!$F$14:$F$88,RAB!$C$14:$C$88,C959)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SUMIFS(RAB!$F$14:$F$88,RAB!$C$14:$C$88,C960)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SUMIFS(RAB!$F$14:$F$88,RAB!$C$14:$C$88,C961)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SUMIFS(RAB!$F$14:$F$88,RAB!$C$14:$C$88,C962)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SUMIFS(RAB!$F$14:$F$88,RAB!$C$14:$C$88,C963)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SUMIFS(RAB!$F$14:$F$88,RAB!$C$14:$C$88,C964)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SUMIFS(RAB!$F$14:$F$88,RAB!$C$14:$C$88,C965)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SUMIFS(RAB!$F$14:$F$88,RAB!$C$14:$C$88,C966)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SUMIFS(RAB!$F$14:$F$88,RAB!$C$14:$C$88,C967)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SUMIFS(RAB!$F$14:$F$88,RAB!$C$14:$C$88,C968)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SUMIFS(RAB!$F$14:$F$88,RAB!$C$14:$C$88,C969)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SUMIFS(RAB!$F$14:$F$88,RAB!$C$14:$C$88,C970)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SUMIFS(RAB!$F$14:$F$88,RAB!$C$14:$C$88,C971)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SUMIFS(RAB!$F$14:$F$88,RAB!$C$14:$C$88,C972)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SUMIFS(RAB!$F$14:$F$88,RAB!$C$14:$C$88,C973)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SUMIFS(RAB!$F$14:$F$88,RAB!$C$14:$C$88,C974)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SUMIFS(RAB!$F$14:$F$88,RAB!$C$14:$C$88,C975)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SUMIFS(RAB!$F$14:$F$88,RAB!$C$14:$C$88,C976)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SUMIFS(RAB!$F$14:$F$88,RAB!$C$14:$C$88,C977)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SUMIFS(RAB!$F$14:$F$88,RAB!$C$14:$C$88,C978)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SUMIFS(RAB!$F$14:$F$88,RAB!$C$14:$C$88,C979)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SUMIFS(RAB!$F$14:$F$88,RAB!$C$14:$C$88,C980)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SUMIFS(RAB!$F$14:$F$88,RAB!$C$14:$C$88,C981)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SUMIFS(RAB!$F$14:$F$88,RAB!$C$14:$C$88,C982)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SUMIFS(RAB!$F$14:$F$88,RAB!$C$14:$C$88,C983)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SUMIFS(RAB!$F$14:$F$88,RAB!$C$14:$C$88,C984)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SUMIFS(RAB!$F$14:$F$88,RAB!$C$14:$C$88,C985)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SUMIFS(RAB!$F$14:$F$88,RAB!$C$14:$C$88,C986)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SUMIFS(RAB!$F$14:$F$88,RAB!$C$14:$C$88,C987)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SUMIFS(RAB!$F$14:$F$88,RAB!$C$14:$C$88,C988)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SUMIFS(RAB!$F$14:$F$88,RAB!$C$14:$C$88,C989)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SUMIFS(RAB!$F$14:$F$88,RAB!$C$14:$C$88,C990)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SUMIFS(RAB!$F$14:$F$88,RAB!$C$14:$C$88,C991)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SUMIFS(RAB!$F$14:$F$88,RAB!$C$14:$C$88,C992)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SUMIFS(RAB!$F$14:$F$88,RAB!$C$14:$C$88,C993)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SUMIFS(RAB!$F$14:$F$88,RAB!$C$14:$C$88,C994)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SUMIFS(RAB!$F$14:$F$88,RAB!$C$14:$C$88,C995)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SUMIFS(RAB!$F$14:$F$88,RAB!$C$14:$C$88,C996)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SUMIFS(RAB!$F$14:$F$88,RAB!$C$14:$C$88,C997)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SUMIFS(RAB!$F$14:$F$88,RAB!$C$14:$C$88,C998)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SUMIFS(RAB!$F$14:$F$88,RAB!$C$14:$C$88,C999)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SUMIFS(RAB!$F$14:$F$88,RAB!$C$14:$C$88,C1000)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SUMIFS(RAB!$F$14:$F$88,RAB!$C$14:$C$88,C1001)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SUMIFS(RAB!$F$14:$F$88,RAB!$C$14:$C$88,C1002)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SUMIFS(RAB!$F$14:$F$88,RAB!$C$14:$C$88,C1003)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SUMIFS(RAB!$F$14:$F$88,RAB!$C$14:$C$88,C1004)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SUMIFS(RAB!$F$14:$F$88,RAB!$C$14:$C$88,C1005)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SUMIFS(RAB!$F$14:$F$88,RAB!$C$14:$C$88,C1006)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SUMIFS(RAB!$F$14:$F$88,RAB!$C$14:$C$88,C1007)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SUMIFS(RAB!$F$14:$F$88,RAB!$C$14:$C$88,C1008)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SUMIFS(RAB!$F$14:$F$88,RAB!$C$14:$C$88,C1009)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SUMIFS(RAB!$F$14:$F$88,RAB!$C$14:$C$88,C1010)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SUMIFS(RAB!$F$14:$F$88,RAB!$C$14:$C$88,C1011)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SUMIFS(RAB!$F$14:$F$88,RAB!$C$14:$C$88,C1012)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SUMIFS(RAB!$F$14:$F$88,RAB!$C$14:$C$88,C1013)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SUMIFS(RAB!$F$14:$F$88,RAB!$C$14:$C$88,C1014)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SUMIFS(RAB!$F$14:$F$88,RAB!$C$14:$C$88,C1015)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SUMIFS(RAB!$F$14:$F$88,RAB!$C$14:$C$88,C1016)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SUMIFS(RAB!$F$14:$F$88,RAB!$C$14:$C$88,C1017)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SUMIFS(RAB!$F$14:$F$88,RAB!$C$14:$C$88,C1018)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SUMIFS(RAB!$F$14:$F$88,RAB!$C$14:$C$88,C1019)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SUMIFS(RAB!$F$14:$F$88,RAB!$C$14:$C$88,C1020)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SUMIFS(RAB!$F$14:$F$88,RAB!$C$14:$C$88,C1021)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SUMIFS(RAB!$F$14:$F$88,RAB!$C$14:$C$88,C1022)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SUMIFS(RAB!$F$14:$F$88,RAB!$C$14:$C$88,C1023)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SUMIFS(RAB!$F$14:$F$88,RAB!$C$14:$C$88,C1024)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SUMIFS(RAB!$F$14:$F$88,RAB!$C$14:$C$88,C1025)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SUMIFS(RAB!$F$14:$F$88,RAB!$C$14:$C$88,C1026)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SUMIFS(RAB!$F$14:$F$88,RAB!$C$14:$C$88,C1027)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SUMIFS(RAB!$F$14:$F$88,RAB!$C$14:$C$88,C1028)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SUMIFS(RAB!$F$14:$F$88,RAB!$C$14:$C$88,C1029)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SUMIFS(RAB!$F$14:$F$88,RAB!$C$14:$C$88,C1030)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SUMIFS(RAB!$F$14:$F$88,RAB!$C$14:$C$88,C1031)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SUMIFS(RAB!$F$14:$F$88,RAB!$C$14:$C$88,C1032)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SUMIFS(RAB!$F$14:$F$88,RAB!$C$14:$C$88,C1033)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SUMIFS(RAB!$F$14:$F$88,RAB!$C$14:$C$88,C1034)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SUMIFS(RAB!$F$14:$F$88,RAB!$C$14:$C$88,C1035)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SUMIFS(RAB!$F$14:$F$88,RAB!$C$14:$C$88,C1036)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SUMIFS(RAB!$F$14:$F$88,RAB!$C$14:$C$88,C1037)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SUMIFS(RAB!$F$14:$F$88,RAB!$C$14:$C$88,C1038)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SUMIFS(RAB!$F$14:$F$88,RAB!$C$14:$C$88,C1039)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SUMIFS(RAB!$F$14:$F$88,RAB!$C$14:$C$88,C1040)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SUMIFS(RAB!$F$14:$F$88,RAB!$C$14:$C$88,C1041)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SUMIFS(RAB!$F$14:$F$88,RAB!$C$14:$C$88,C1042)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SUMIFS(RAB!$F$14:$F$88,RAB!$C$14:$C$88,C1043)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SUMIFS(RAB!$F$14:$F$88,RAB!$C$14:$C$88,C1044)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SUMIFS(RAB!$F$14:$F$88,RAB!$C$14:$C$88,C1045)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SUMIFS(RAB!$F$14:$F$88,RAB!$C$14:$C$88,C1046)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SUMIFS(RAB!$F$14:$F$88,RAB!$C$14:$C$88,C1047)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SUMIFS(RAB!$F$14:$F$88,RAB!$C$14:$C$88,C1048)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SUMIFS(RAB!$F$14:$F$88,RAB!$C$14:$C$88,C1049)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SUMIFS(RAB!$F$14:$F$88,RAB!$C$14:$C$88,C1050)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SUMIFS(RAB!$F$14:$F$88,RAB!$C$14:$C$88,C1051)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SUMIFS(RAB!$F$14:$F$88,RAB!$C$14:$C$88,C1052)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SUMIFS(RAB!$F$14:$F$88,RAB!$C$14:$C$88,C1053)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SUMIFS(RAB!$F$14:$F$88,RAB!$C$14:$C$88,C1054)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SUMIFS(RAB!$F$14:$F$88,RAB!$C$14:$C$88,C1055)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SUMIFS(RAB!$F$14:$F$88,RAB!$C$14:$C$88,C1056)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SUMIFS(RAB!$F$14:$F$88,RAB!$C$14:$C$88,C1057)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SUMIFS(RAB!$F$14:$F$88,RAB!$C$14:$C$88,C1058)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SUMIFS(RAB!$F$14:$F$88,RAB!$C$14:$C$88,C1059)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SUMIFS(RAB!$F$14:$F$88,RAB!$C$14:$C$88,C1060)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SUMIFS(RAB!$F$14:$F$88,RAB!$C$14:$C$88,C1061)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SUMIFS(RAB!$F$14:$F$88,RAB!$C$14:$C$88,C1062)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SUMIFS(RAB!$F$14:$F$88,RAB!$C$14:$C$88,C1063)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SUMIFS(RAB!$F$14:$F$88,RAB!$C$14:$C$88,C1064)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SUMIFS(RAB!$F$14:$F$88,RAB!$C$14:$C$88,C1065)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SUMIFS(RAB!$F$14:$F$88,RAB!$C$14:$C$88,C1066)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SUMIFS(RAB!$F$14:$F$88,RAB!$C$14:$C$88,C1067)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SUMIFS(RAB!$F$14:$F$88,RAB!$C$14:$C$88,C1068)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SUMIFS(RAB!$F$14:$F$88,RAB!$C$14:$C$88,C1069)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SUMIFS(RAB!$F$14:$F$88,RAB!$C$14:$C$88,C1070)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SUMIFS(RAB!$F$14:$F$88,RAB!$C$14:$C$88,C1071)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SUMIFS(RAB!$F$14:$F$88,RAB!$C$14:$C$88,C1072)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SUMIFS(RAB!$F$14:$F$88,RAB!$C$14:$C$88,C1073)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SUMIFS(RAB!$F$14:$F$88,RAB!$C$14:$C$88,C1074)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SUMIFS(RAB!$F$14:$F$88,RAB!$C$14:$C$88,C1075)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SUMIFS(RAB!$F$14:$F$88,RAB!$C$14:$C$88,C1076)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SUMIFS(RAB!$F$14:$F$88,RAB!$C$14:$C$88,C1077)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SUMIFS(RAB!$F$14:$F$88,RAB!$C$14:$C$88,C1078)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SUMIFS(RAB!$F$14:$F$88,RAB!$C$14:$C$88,C1079)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SUMIFS(RAB!$F$14:$F$88,RAB!$C$14:$C$88,C1080)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SUMIFS(RAB!$F$14:$F$88,RAB!$C$14:$C$88,C1081)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SUMIFS(RAB!$F$14:$F$88,RAB!$C$14:$C$88,C1082)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SUMIFS(RAB!$F$14:$F$88,RAB!$C$14:$C$88,C1083)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SUMIFS(RAB!$F$14:$F$88,RAB!$C$14:$C$88,C1084)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SUMIFS(RAB!$F$14:$F$88,RAB!$C$14:$C$88,C1085)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SUMIFS(RAB!$F$14:$F$88,RAB!$C$14:$C$88,C1086)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SUMIFS(RAB!$F$14:$F$88,RAB!$C$14:$C$88,C1087)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SUMIFS(RAB!$F$14:$F$88,RAB!$C$14:$C$88,C1088)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SUMIFS(RAB!$F$14:$F$88,RAB!$C$14:$C$88,C1089)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SUMIFS(RAB!$F$14:$F$88,RAB!$C$14:$C$88,C1090)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SUMIFS(RAB!$F$14:$F$88,RAB!$C$14:$C$88,C1091)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SUMIFS(RAB!$F$14:$F$88,RAB!$C$14:$C$88,C1092)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SUMIFS(RAB!$F$14:$F$88,RAB!$C$14:$C$88,C1093)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SUMIFS(RAB!$F$14:$F$88,RAB!$C$14:$C$88,C1094)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SUMIFS(RAB!$F$14:$F$88,RAB!$C$14:$C$88,C1095)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SUMIFS(RAB!$F$14:$F$88,RAB!$C$14:$C$88,C1096)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SUMIFS(RAB!$F$14:$F$88,RAB!$C$14:$C$88,C1097)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SUMIFS(RAB!$F$14:$F$88,RAB!$C$14:$C$88,C1098)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SUMIFS(RAB!$F$14:$F$88,RAB!$C$14:$C$88,C1099)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SUMIFS(RAB!$F$14:$F$88,RAB!$C$14:$C$88,C1100)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SUMIFS(RAB!$F$14:$F$88,RAB!$C$14:$C$88,C1101)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SUMIFS(RAB!$F$14:$F$88,RAB!$C$14:$C$88,C1102)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SUMIFS(RAB!$F$14:$F$88,RAB!$C$14:$C$88,C1103)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SUMIFS(RAB!$F$14:$F$88,RAB!$C$14:$C$88,C1104)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SUMIFS(RAB!$F$14:$F$88,RAB!$C$14:$C$88,C1105)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SUMIFS(RAB!$F$14:$F$88,RAB!$C$14:$C$88,C1106)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SUMIFS(RAB!$F$14:$F$88,RAB!$C$14:$C$88,C1107)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SUMIFS(RAB!$F$14:$F$88,RAB!$C$14:$C$88,C1108)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SUMIFS(RAB!$F$14:$F$88,RAB!$C$14:$C$88,C1109)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SUMIFS(RAB!$F$14:$F$88,RAB!$C$14:$C$88,C1110)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SUMIFS(RAB!$F$14:$F$88,RAB!$C$14:$C$88,C1111)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SUMIFS(RAB!$F$14:$F$88,RAB!$C$14:$C$88,C1112)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SUMIFS(RAB!$F$14:$F$88,RAB!$C$14:$C$88,C1113)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SUMIFS(RAB!$F$14:$F$88,RAB!$C$14:$C$88,C1114)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SUMIFS(RAB!$F$14:$F$88,RAB!$C$14:$C$88,C1115)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SUMIFS(RAB!$F$14:$F$88,RAB!$C$14:$C$88,C1116)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SUMIFS(RAB!$F$14:$F$88,RAB!$C$14:$C$88,C1117)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SUMIFS(RAB!$F$14:$F$88,RAB!$C$14:$C$88,C1118)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SUMIFS(RAB!$F$14:$F$88,RAB!$C$14:$C$88,C1119)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SUMIFS(RAB!$F$14:$F$88,RAB!$C$14:$C$88,C1120)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SUMIFS(RAB!$F$14:$F$88,RAB!$C$14:$C$88,C1121)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SUMIFS(RAB!$F$14:$F$88,RAB!$C$14:$C$88,C1122)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SUMIFS(RAB!$F$14:$F$88,RAB!$C$14:$C$88,C1123)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SUMIFS(RAB!$F$14:$F$88,RAB!$C$14:$C$88,C1124)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SUMIFS(RAB!$F$14:$F$88,RAB!$C$14:$C$88,C1125)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SUMIFS(RAB!$F$14:$F$88,RAB!$C$14:$C$88,C1126)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SUMIFS(RAB!$F$14:$F$88,RAB!$C$14:$C$88,C1127)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SUMIFS(RAB!$F$14:$F$88,RAB!$C$14:$C$88,C1128)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SUMIFS(RAB!$F$14:$F$88,RAB!$C$14:$C$88,C1129)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SUMIFS(RAB!$F$14:$F$88,RAB!$C$14:$C$88,C1130)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SUMIFS(RAB!$F$14:$F$88,RAB!$C$14:$C$88,C1131)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SUMIFS(RAB!$F$14:$F$88,RAB!$C$14:$C$88,C1132)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SUMIFS(RAB!$F$14:$F$88,RAB!$C$14:$C$88,C1133)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SUMIFS(RAB!$F$14:$F$88,RAB!$C$14:$C$88,C1134)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SUMIFS(RAB!$F$14:$F$88,RAB!$C$14:$C$88,C1135)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SUMIFS(RAB!$F$14:$F$88,RAB!$C$14:$C$88,C1136)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SUMIFS(RAB!$F$14:$F$88,RAB!$C$14:$C$88,C1137)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SUMIFS(RAB!$F$14:$F$88,RAB!$C$14:$C$88,C1138)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SUMIFS(RAB!$F$14:$F$88,RAB!$C$14:$C$88,C1139)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SUMIFS(RAB!$F$14:$F$88,RAB!$C$14:$C$88,C1140)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SUMIFS(RAB!$F$14:$F$88,RAB!$C$14:$C$88,C1141)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SUMIFS(RAB!$F$14:$F$88,RAB!$C$14:$C$88,C1142)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SUMIFS(RAB!$F$14:$F$88,RAB!$C$14:$C$88,C1143)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SUMIFS(RAB!$F$14:$F$88,RAB!$C$14:$C$88,C1144)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SUMIFS(RAB!$F$14:$F$88,RAB!$C$14:$C$88,C1145)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SUMIFS(RAB!$F$14:$F$88,RAB!$C$14:$C$88,C1146)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SUMIFS(RAB!$F$14:$F$88,RAB!$C$14:$C$88,C1147)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SUMIFS(RAB!$F$14:$F$88,RAB!$C$14:$C$88,C1148)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SUMIFS(RAB!$F$14:$F$88,RAB!$C$14:$C$88,C1149)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SUMIFS(RAB!$F$14:$F$88,RAB!$C$14:$C$88,C1150)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SUMIFS(RAB!$F$14:$F$88,RAB!$C$14:$C$88,C1151)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SUMIFS(RAB!$F$14:$F$88,RAB!$C$14:$C$88,C1152)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SUMIFS(RAB!$F$14:$F$88,RAB!$C$14:$C$88,C1153)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SUMIFS(RAB!$F$14:$F$88,RAB!$C$14:$C$88,C1154)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SUMIFS(RAB!$F$14:$F$88,RAB!$C$14:$C$88,C1155)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SUMIFS(RAB!$F$14:$F$88,RAB!$C$14:$C$88,C1156)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SUMIFS(RAB!$F$14:$F$88,RAB!$C$14:$C$88,C1157)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SUMIFS(RAB!$F$14:$F$88,RAB!$C$14:$C$88,C1158)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SUMIFS(RAB!$F$14:$F$88,RAB!$C$14:$C$88,C1159)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SUMIFS(RAB!$F$14:$F$88,RAB!$C$14:$C$88,C1160)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SUMIFS(RAB!$F$14:$F$88,RAB!$C$14:$C$88,C1161)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SUMIFS(RAB!$F$14:$F$88,RAB!$C$14:$C$88,C1162)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SUMIFS(RAB!$F$14:$F$88,RAB!$C$14:$C$88,C1163)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SUMIFS(RAB!$F$14:$F$88,RAB!$C$14:$C$88,C1164)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SUMIFS(RAB!$F$14:$F$88,RAB!$C$14:$C$88,C1165)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SUMIFS(RAB!$F$14:$F$88,RAB!$C$14:$C$88,C1166)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SUMIFS(RAB!$F$14:$F$88,RAB!$C$14:$C$88,C1167)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SUMIFS(RAB!$F$14:$F$88,RAB!$C$14:$C$88,C1168)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SUMIFS(RAB!$F$14:$F$88,RAB!$C$14:$C$88,C1169)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SUMIFS(RAB!$F$14:$F$88,RAB!$C$14:$C$88,C1170)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SUMIFS(RAB!$F$14:$F$88,RAB!$C$14:$C$88,C1171)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SUMIFS(RAB!$F$14:$F$88,RAB!$C$14:$C$88,C1172)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SUMIFS(RAB!$F$14:$F$88,RAB!$C$14:$C$88,C1173)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SUMIFS(RAB!$F$14:$F$88,RAB!$C$14:$C$88,C1174)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SUMIFS(RAB!$F$14:$F$88,RAB!$C$14:$C$88,C1175)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SUMIFS(RAB!$F$14:$F$88,RAB!$C$14:$C$88,C1176)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SUMIFS(RAB!$F$14:$F$88,RAB!$C$14:$C$88,C1177)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SUMIFS(RAB!$F$14:$F$88,RAB!$C$14:$C$88,C1178)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SUMIFS(RAB!$F$14:$F$88,RAB!$C$14:$C$88,C1179)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SUMIFS(RAB!$F$14:$F$88,RAB!$C$14:$C$88,C1180)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SUMIFS(RAB!$F$14:$F$88,RAB!$C$14:$C$88,C1181)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SUMIFS(RAB!$F$14:$F$88,RAB!$C$14:$C$88,C1182)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SUMIFS(RAB!$F$14:$F$88,RAB!$C$14:$C$88,C1183)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SUMIFS(RAB!$F$14:$F$88,RAB!$C$14:$C$88,C1184)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SUMIFS(RAB!$F$14:$F$88,RAB!$C$14:$C$88,C1185)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SUMIFS(RAB!$F$14:$F$88,RAB!$C$14:$C$88,C1186)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SUMIFS(RAB!$F$14:$F$88,RAB!$C$14:$C$88,C1187)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SUMIFS(RAB!$F$14:$F$88,RAB!$C$14:$C$88,C1188)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SUMIFS(RAB!$F$14:$F$88,RAB!$C$14:$C$88,C1189)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SUMIFS(RAB!$F$14:$F$88,RAB!$C$14:$C$88,C1190)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SUMIFS(RAB!$F$14:$F$88,RAB!$C$14:$C$88,C1191)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SUMIFS(RAB!$F$14:$F$88,RAB!$C$14:$C$88,C1192)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SUMIFS(RAB!$F$14:$F$88,RAB!$C$14:$C$88,C1193)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SUMIFS(RAB!$F$14:$F$88,RAB!$C$14:$C$88,C1194)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SUMIFS(RAB!$F$14:$F$88,RAB!$C$14:$C$88,C1195)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SUMIFS(RAB!$F$14:$F$88,RAB!$C$14:$C$88,C1196)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SUMIFS(RAB!$F$14:$F$88,RAB!$C$14:$C$88,C1197)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SUMIFS(RAB!$F$14:$F$88,RAB!$C$14:$C$88,C1198)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SUMIFS(RAB!$F$14:$F$88,RAB!$C$14:$C$88,C1199)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SUMIFS(RAB!$F$14:$F$88,RAB!$C$14:$C$88,C1200)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SUMIFS(RAB!$F$14:$F$88,RAB!$C$14:$C$88,C1201)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SUMIFS(RAB!$F$14:$F$88,RAB!$C$14:$C$88,C1202)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SUMIFS(RAB!$F$14:$F$88,RAB!$C$14:$C$88,C1203)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SUMIFS(RAB!$F$14:$F$88,RAB!$C$14:$C$88,C1204)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SUMIFS(RAB!$F$14:$F$88,RAB!$C$14:$C$88,C1205)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SUMIFS(RAB!$F$14:$F$88,RAB!$C$14:$C$88,C1206)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SUMIFS(RAB!$F$14:$F$88,RAB!$C$14:$C$88,C1207)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SUMIFS(RAB!$F$14:$F$88,RAB!$C$14:$C$88,C1208)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SUMIFS(RAB!$F$14:$F$88,RAB!$C$14:$C$88,C1209)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SUMIFS(RAB!$F$14:$F$88,RAB!$C$14:$C$88,C1210)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SUMIFS(RAB!$F$14:$F$88,RAB!$C$14:$C$88,C1211)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SUMIFS(RAB!$F$14:$F$88,RAB!$C$14:$C$88,C1212)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SUMIFS(RAB!$F$14:$F$88,RAB!$C$14:$C$88,C1213)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SUMIFS(RAB!$F$14:$F$88,RAB!$C$14:$C$88,C1214)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SUMIFS(RAB!$F$14:$F$88,RAB!$C$14:$C$88,C1215)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SUMIFS(RAB!$F$14:$F$88,RAB!$C$14:$C$88,C1216)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SUMIFS(RAB!$F$14:$F$88,RAB!$C$14:$C$88,C1217)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SUMIFS(RAB!$F$14:$F$88,RAB!$C$14:$C$88,C1218)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SUMIFS(RAB!$F$14:$F$88,RAB!$C$14:$C$88,C1219)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SUMIFS(RAB!$F$14:$F$88,RAB!$C$14:$C$88,C1220)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SUMIFS(RAB!$F$14:$F$88,RAB!$C$14:$C$88,C1221)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SUMIFS(RAB!$F$14:$F$88,RAB!$C$14:$C$88,C1222)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SUMIFS(RAB!$F$14:$F$88,RAB!$C$14:$C$88,C1223)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SUMIFS(RAB!$F$14:$F$88,RAB!$C$14:$C$88,C1224)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SUMIFS(RAB!$F$14:$F$88,RAB!$C$14:$C$88,C1225)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SUMIFS(RAB!$F$14:$F$88,RAB!$C$14:$C$88,C1226)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SUMIFS(RAB!$F$14:$F$88,RAB!$C$14:$C$88,C1227)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SUMIFS(RAB!$F$14:$F$88,RAB!$C$14:$C$88,C1228)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SUMIFS(RAB!$F$14:$F$88,RAB!$C$14:$C$88,C1229)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SUMIFS(RAB!$F$14:$F$88,RAB!$C$14:$C$88,C1230)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SUMIFS(RAB!$F$14:$F$88,RAB!$C$14:$C$88,C1231)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SUMIFS(RAB!$F$14:$F$88,RAB!$C$14:$C$88,C1232)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SUMIFS(RAB!$F$14:$F$88,RAB!$C$14:$C$88,C1233)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SUMIFS(RAB!$F$14:$F$88,RAB!$C$14:$C$88,C1234)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SUMIFS(RAB!$F$14:$F$88,RAB!$C$14:$C$88,C1235)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SUMIFS(RAB!$F$14:$F$88,RAB!$C$14:$C$88,C1236)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SUMIFS(RAB!$F$14:$F$88,RAB!$C$14:$C$88,C1237)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SUMIFS(RAB!$F$14:$F$88,RAB!$C$14:$C$88,C1238)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SUMIFS(RAB!$F$14:$F$88,RAB!$C$14:$C$88,C1239)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SUMIFS(RAB!$F$14:$F$88,RAB!$C$14:$C$88,C1240)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SUMIFS(RAB!$F$14:$F$88,RAB!$C$14:$C$88,C1241)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SUMIFS(RAB!$F$14:$F$88,RAB!$C$14:$C$88,C1242)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SUMIFS(RAB!$F$14:$F$88,RAB!$C$14:$C$88,C1243)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SUMIFS(RAB!$F$14:$F$88,RAB!$C$14:$C$88,C1244)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SUMIFS(RAB!$F$14:$F$88,RAB!$C$14:$C$88,C1245)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SUMIFS(RAB!$F$14:$F$88,RAB!$C$14:$C$88,C1246)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SUMIFS(RAB!$F$14:$F$88,RAB!$C$14:$C$88,C1247)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SUMIFS(RAB!$F$14:$F$88,RAB!$C$14:$C$88,C1248)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SUMIFS(RAB!$F$14:$F$88,RAB!$C$14:$C$88,C1249)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SUMIFS(RAB!$F$14:$F$88,RAB!$C$14:$C$88,C1250)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SUMIFS(RAB!$F$14:$F$88,RAB!$C$14:$C$88,C1251)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SUMIFS(RAB!$F$14:$F$88,RAB!$C$14:$C$88,C1252)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SUMIFS(RAB!$F$14:$F$88,RAB!$C$14:$C$88,C1253)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SUMIFS(RAB!$F$14:$F$88,RAB!$C$14:$C$88,C1254)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SUMIFS(RAB!$F$14:$F$88,RAB!$C$14:$C$88,C1255)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SUMIFS(RAB!$F$14:$F$88,RAB!$C$14:$C$88,C1256)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SUMIFS(RAB!$F$14:$F$88,RAB!$C$14:$C$88,C1257)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SUMIFS(RAB!$F$14:$F$88,RAB!$C$14:$C$88,C1258)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SUMIFS(RAB!$F$14:$F$88,RAB!$C$14:$C$88,C1259)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SUMIFS(RAB!$F$14:$F$88,RAB!$C$14:$C$88,C1260)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SUMIFS(RAB!$F$14:$F$88,RAB!$C$14:$C$88,C1261)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SUMIFS(RAB!$F$14:$F$88,RAB!$C$14:$C$88,C1262)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SUMIFS(RAB!$F$14:$F$88,RAB!$C$14:$C$88,C1263)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SUMIFS(RAB!$F$14:$F$88,RAB!$C$14:$C$88,C1264)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SUMIFS(RAB!$F$14:$F$88,RAB!$C$14:$C$88,C1265)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SUMIFS(RAB!$F$14:$F$88,RAB!$C$14:$C$88,C1266)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SUMIFS(RAB!$F$14:$F$88,RAB!$C$14:$C$88,C1267)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SUMIFS(RAB!$F$14:$F$88,RAB!$C$14:$C$88,C1268)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SUMIFS(RAB!$F$14:$F$88,RAB!$C$14:$C$88,C1269)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SUMIFS(RAB!$F$14:$F$88,RAB!$C$14:$C$88,C1270)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SUMIFS(RAB!$F$14:$F$88,RAB!$C$14:$C$88,C1271)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SUMIFS(RAB!$F$14:$F$88,RAB!$C$14:$C$88,C1272)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SUMIFS(RAB!$F$14:$F$88,RAB!$C$14:$C$88,C1273)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SUMIFS(RAB!$F$14:$F$88,RAB!$C$14:$C$88,C1274)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SUMIFS(RAB!$F$14:$F$88,RAB!$C$14:$C$88,C1275)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SUMIFS(RAB!$F$14:$F$88,RAB!$C$14:$C$88,C1276)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SUMIFS(RAB!$F$14:$F$88,RAB!$C$14:$C$88,C1277)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SUMIFS(RAB!$F$14:$F$88,RAB!$C$14:$C$88,C1278)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SUMIFS(RAB!$F$14:$F$88,RAB!$C$14:$C$88,C1279)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SUMIFS(RAB!$F$14:$F$88,RAB!$C$14:$C$88,C1280)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SUMIFS(RAB!$F$14:$F$88,RAB!$C$14:$C$88,C1281)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SUMIFS(RAB!$F$14:$F$88,RAB!$C$14:$C$88,C1282)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SUMIFS(RAB!$F$14:$F$88,RAB!$C$14:$C$88,C1283)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SUMIFS(RAB!$F$14:$F$88,RAB!$C$14:$C$88,C1284)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SUMIFS(RAB!$F$14:$F$88,RAB!$C$14:$C$88,C1285)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SUMIFS(RAB!$F$14:$F$88,RAB!$C$14:$C$88,C1286)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SUMIFS(RAB!$F$14:$F$88,RAB!$C$14:$C$88,C1287)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SUMIFS(RAB!$F$14:$F$88,RAB!$C$14:$C$88,C1288)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SUMIFS(RAB!$F$14:$F$88,RAB!$C$14:$C$88,C1289)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SUMIFS(RAB!$F$14:$F$88,RAB!$C$14:$C$88,C1290)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SUMIFS(RAB!$F$14:$F$88,RAB!$C$14:$C$88,C1291)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SUMIFS(RAB!$F$14:$F$88,RAB!$C$14:$C$88,C1292)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SUMIFS(RAB!$F$14:$F$88,RAB!$C$14:$C$88,C1293)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SUMIFS(RAB!$F$14:$F$88,RAB!$C$14:$C$88,C1294)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SUMIFS(RAB!$F$14:$F$88,RAB!$C$14:$C$88,C1295)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SUMIFS(RAB!$F$14:$F$88,RAB!$C$14:$C$88,C1296)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SUMIFS(RAB!$F$14:$F$88,RAB!$C$14:$C$88,C1297)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SUMIFS(RAB!$F$14:$F$88,RAB!$C$14:$C$88,C1298)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SUMIFS(RAB!$F$14:$F$88,RAB!$C$14:$C$88,C1299)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SUMIFS(RAB!$F$14:$F$88,RAB!$C$14:$C$88,C1300)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SUMIFS(RAB!$F$14:$F$88,RAB!$C$14:$C$88,C1301)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SUMIFS(RAB!$F$14:$F$88,RAB!$C$14:$C$88,C1302)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SUMIFS(RAB!$F$14:$F$88,RAB!$C$14:$C$88,C1303)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SUMIFS(RAB!$F$14:$F$88,RAB!$C$14:$C$88,C1304)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SUMIFS(RAB!$F$14:$F$88,RAB!$C$14:$C$88,C1305)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SUMIFS(RAB!$F$14:$F$88,RAB!$C$14:$C$88,C1306)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SUMIFS(RAB!$F$14:$F$88,RAB!$C$14:$C$88,C1307)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SUMIFS(RAB!$F$14:$F$88,RAB!$C$14:$C$88,C1308)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SUMIFS(RAB!$F$14:$F$88,RAB!$C$14:$C$88,C1309)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SUMIFS(RAB!$F$14:$F$88,RAB!$C$14:$C$88,C1310)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SUMIFS(RAB!$F$14:$F$88,RAB!$C$14:$C$88,C1311)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SUMIFS(RAB!$F$14:$F$88,RAB!$C$14:$C$88,C1312)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SUMIFS(RAB!$F$14:$F$88,RAB!$C$14:$C$88,C1313)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SUMIFS(RAB!$F$14:$F$88,RAB!$C$14:$C$88,C1314)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SUMIFS(RAB!$F$14:$F$88,RAB!$C$14:$C$88,C1315)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SUMIFS(RAB!$F$14:$F$88,RAB!$C$14:$C$88,C1316)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SUMIFS(RAB!$F$14:$F$88,RAB!$C$14:$C$88,C1317)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SUMIFS(RAB!$F$14:$F$88,RAB!$C$14:$C$88,C1318)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SUMIFS(RAB!$F$14:$F$88,RAB!$C$14:$C$88,C1319)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SUMIFS(RAB!$F$14:$F$88,RAB!$C$14:$C$88,C1320)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1127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NUR WACHID AHMAD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MANGUNJIWAN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4" t="s">
        <v>1008</v>
      </c>
      <c r="D38" s="534"/>
      <c r="E38" s="534"/>
      <c r="F38" s="534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35" t="s">
        <v>462</v>
      </c>
      <c r="D39" s="535"/>
      <c r="E39" s="535"/>
      <c r="F39" s="535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4" t="s">
        <v>463</v>
      </c>
      <c r="D40" s="524"/>
      <c r="E40" s="524"/>
      <c r="F40" s="524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27" t="e">
        <f ca="1">"Terbilang : ( "&amp;L42&amp;" Rupiah )"</f>
        <v>#NAME?</v>
      </c>
      <c r="C41" s="528"/>
      <c r="D41" s="528"/>
      <c r="E41" s="528"/>
      <c r="F41" s="528"/>
      <c r="G41" s="528"/>
      <c r="H41" s="528"/>
      <c r="I41" s="528"/>
      <c r="J41" s="528"/>
      <c r="K41" s="529"/>
      <c r="L41" s="44"/>
      <c r="R41" s="58"/>
      <c r="S41" s="58"/>
      <c r="T41" s="58"/>
    </row>
    <row r="42" spans="1:20" s="36" customFormat="1">
      <c r="A42" s="30"/>
      <c r="B42" s="530"/>
      <c r="C42" s="531"/>
      <c r="D42" s="531"/>
      <c r="E42" s="531"/>
      <c r="F42" s="531"/>
      <c r="G42" s="531"/>
      <c r="H42" s="531"/>
      <c r="I42" s="531"/>
      <c r="J42" s="531"/>
      <c r="K42" s="53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5"/>
      <c r="I45" s="525"/>
      <c r="J45" s="526"/>
      <c r="K45" s="52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5"/>
      <c r="I46" s="525"/>
      <c r="J46" s="526"/>
      <c r="K46" s="52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5"/>
      <c r="I47" s="525"/>
      <c r="J47" s="526"/>
      <c r="K47" s="52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5"/>
      <c r="I52" s="525"/>
      <c r="J52" s="526"/>
      <c r="K52" s="52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SUMIFS(RAB!$F$14:$F$88,RAB!$C$14:$C$88,'REKAP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SUMIFS(RAB!$F$14:$F$88,RAB!$C$14:$C$88,'REKAP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SUMIFS(RAB!$F$14:$F$88,RAB!$C$14:$C$88,'REKAP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SUMIFS(RAB!$F$14:$F$88,RAB!$C$14:$C$88,'REKAP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SUMIFS(RAB!$F$14:$F$88,RAB!$C$14:$C$88,'REKAP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SUMIFS(RAB!$F$14:$F$88,RAB!$C$14:$C$88,'REKAP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SUMIFS(RAB!$F$14:$F$88,RAB!$C$14:$C$88,'REKAP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SUMIFS(RAB!$F$14:$F$88,RAB!$C$14:$C$88,'REKAP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SUMIFS(RAB!$F$14:$F$88,RAB!$C$14:$C$88,'REKAP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SUMIFS(RAB!$F$14:$F$88,RAB!$C$14:$C$88,'REKAP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SUMIFS(RAB!$F$14:$F$88,RAB!$C$14:$C$88,'REKAP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SUMIFS(RAB!$F$14:$F$88,RAB!$C$14:$C$88,'REKAP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SUMIFS(RAB!$F$14:$F$88,RAB!$C$14:$C$88,'REKAP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SUMIFS(RAB!$F$14:$F$88,RAB!$C$14:$C$88,'REKAP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SUMIFS(RAB!$F$14:$F$88,RAB!$C$14:$C$88,'REKAP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SUMIFS(RAB!$F$14:$F$88,RAB!$C$14:$C$88,'REKAP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SUMIFS(RAB!$F$14:$F$88,RAB!$C$14:$C$88,'REKAP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SUMIFS(RAB!$F$14:$F$88,RAB!$C$14:$C$88,'REKAP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SUMIFS(RAB!$F$14:$F$88,RAB!$C$14:$C$88,'REKAP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SUMIFS(RAB!$F$14:$F$88,RAB!$C$14:$C$88,'REKAP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1034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NUR WACHID AHMAD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MANGUNJIWAN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6.6 kVA MCCB 10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250</v>
      </c>
      <c r="G17" s="41">
        <f ca="1">IF(ISERROR(OFFSET('HARGA SATUAN'!$I$6,MATCH(C17,'HARGA SATUAN'!$C$7:$C$1492,0),0)),"",OFFSET('HARGA SATUAN'!$I$6,MATCH(C17,'HARGA SATUAN'!$C$7:$C$1492,0),0))</f>
        <v>54500</v>
      </c>
      <c r="H17" s="42">
        <f t="shared" ca="1" si="1"/>
        <v>13625000</v>
      </c>
      <c r="I17" s="42">
        <f t="shared" ca="1" si="2"/>
        <v>0</v>
      </c>
      <c r="J17" s="42">
        <f t="shared" ca="1" si="3"/>
        <v>0</v>
      </c>
      <c r="K17" s="43">
        <f t="shared" ca="1" si="0"/>
        <v>13625000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4" t="s">
        <v>1008</v>
      </c>
      <c r="D168" s="534"/>
      <c r="E168" s="534"/>
      <c r="F168" s="534"/>
      <c r="G168" s="77" t="s">
        <v>9</v>
      </c>
      <c r="H168" s="55">
        <f ca="1">SUM(H14:H167)</f>
        <v>17189900</v>
      </c>
      <c r="I168" s="55">
        <f ca="1">SUM(I14:I167)</f>
        <v>0</v>
      </c>
      <c r="J168" s="55">
        <f ca="1">SUM(J14:J167)</f>
        <v>0</v>
      </c>
      <c r="K168" s="55">
        <f ca="1">SUM(K14:K167)</f>
        <v>17189900</v>
      </c>
      <c r="L168" s="44"/>
      <c r="R168" s="99"/>
      <c r="S168" s="99"/>
      <c r="T168" s="99"/>
    </row>
    <row r="169" spans="1:20" s="36" customFormat="1">
      <c r="A169" s="30"/>
      <c r="B169" s="56"/>
      <c r="C169" s="535" t="s">
        <v>462</v>
      </c>
      <c r="D169" s="535"/>
      <c r="E169" s="535"/>
      <c r="F169" s="535"/>
      <c r="G169" s="59" t="s">
        <v>9</v>
      </c>
      <c r="H169" s="60">
        <f ca="1">H168*0.1</f>
        <v>1718990</v>
      </c>
      <c r="I169" s="60">
        <f ca="1">I168*0.1</f>
        <v>0</v>
      </c>
      <c r="J169" s="60">
        <f ca="1">J168*0.1</f>
        <v>0</v>
      </c>
      <c r="K169" s="60">
        <f ca="1">K168*0.1</f>
        <v>1718990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4" t="s">
        <v>463</v>
      </c>
      <c r="D170" s="524"/>
      <c r="E170" s="524"/>
      <c r="F170" s="524"/>
      <c r="G170" s="61" t="s">
        <v>9</v>
      </c>
      <c r="H170" s="78">
        <f ca="1">SUM(H168:H169)</f>
        <v>18908890</v>
      </c>
      <c r="I170" s="78">
        <f ca="1">SUM(I168:I169)</f>
        <v>0</v>
      </c>
      <c r="J170" s="61">
        <f ca="1">SUM(J168:J169)</f>
        <v>0</v>
      </c>
      <c r="K170" s="61">
        <f ca="1">SUM(K168:K169)</f>
        <v>18908890</v>
      </c>
      <c r="L170" s="44"/>
      <c r="R170" s="99"/>
      <c r="S170" s="99"/>
      <c r="T170" s="99"/>
    </row>
    <row r="171" spans="1:20" s="36" customFormat="1">
      <c r="A171" s="30"/>
      <c r="B171" s="527" t="e">
        <f ca="1">"Terbilang : ( "&amp;L172&amp;" Rupiah )"</f>
        <v>#NAME?</v>
      </c>
      <c r="C171" s="528"/>
      <c r="D171" s="528"/>
      <c r="E171" s="528"/>
      <c r="F171" s="528"/>
      <c r="G171" s="528"/>
      <c r="H171" s="528"/>
      <c r="I171" s="528"/>
      <c r="J171" s="528"/>
      <c r="K171" s="529"/>
      <c r="L171" s="44"/>
      <c r="R171" s="58"/>
      <c r="S171" s="58"/>
      <c r="T171" s="58"/>
    </row>
    <row r="172" spans="1:20" s="36" customFormat="1">
      <c r="A172" s="30"/>
      <c r="B172" s="530"/>
      <c r="C172" s="531"/>
      <c r="D172" s="531"/>
      <c r="E172" s="531"/>
      <c r="F172" s="531"/>
      <c r="G172" s="531"/>
      <c r="H172" s="531"/>
      <c r="I172" s="531"/>
      <c r="J172" s="531"/>
      <c r="K172" s="53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5"/>
      <c r="I175" s="525"/>
      <c r="J175" s="526"/>
      <c r="K175" s="52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5"/>
      <c r="I176" s="525"/>
      <c r="J176" s="526"/>
      <c r="K176" s="52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5"/>
      <c r="I177" s="525"/>
      <c r="J177" s="526"/>
      <c r="K177" s="52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5"/>
      <c r="I182" s="525"/>
      <c r="J182" s="526"/>
      <c r="K182" s="52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SUMIFS(RAB!$F$14:$F$88,RAB!$C$14:$C$88,C224)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SUMIFS(RAB!$F$14:$F$88,RAB!$C$14:$C$88,C225)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SUMIFS(RAB!$F$14:$F$88,RAB!$C$14:$C$88,C226)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SUMIFS(RAB!$F$14:$F$88,RAB!$C$14:$C$88,C227)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SUMIFS(RAB!$F$14:$F$88,RAB!$C$14:$C$88,C228)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SUMIFS(RAB!$F$14:$F$88,RAB!$C$14:$C$88,C229)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SUMIFS(RAB!$F$14:$F$88,RAB!$C$14:$C$88,C230)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SUMIFS(RAB!$F$14:$F$88,RAB!$C$14:$C$88,C231)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SUMIFS(RAB!$F$14:$F$88,RAB!$C$14:$C$88,C232)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SUMIFS(RAB!$F$14:$F$88,RAB!$C$14:$C$88,C233)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SUMIFS(RAB!$F$14:$F$88,RAB!$C$14:$C$88,C234)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SUMIFS(RAB!$F$14:$F$88,RAB!$C$14:$C$88,C235)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SUMIFS(RAB!$F$14:$F$88,RAB!$C$14:$C$88,C236)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SUMIFS(RAB!$F$14:$F$88,RAB!$C$14:$C$88,C237)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SUMIFS(RAB!$F$14:$F$88,RAB!$C$14:$C$88,C238)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SUMIFS(RAB!$F$14:$F$88,RAB!$C$14:$C$88,C239)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SUMIFS(RAB!$F$14:$F$88,RAB!$C$14:$C$88,C240)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SUMIFS(RAB!$F$14:$F$88,RAB!$C$14:$C$88,C241)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SUMIFS(RAB!$F$14:$F$88,RAB!$C$14:$C$88,C242)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SUMIFS(RAB!$F$14:$F$88,RAB!$C$14:$C$88,C243)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SUMIFS(RAB!$F$14:$F$88,RAB!$C$14:$C$88,C244)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SUMIFS(RAB!$F$14:$F$88,RAB!$C$14:$C$88,C245)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SUMIFS(RAB!$F$14:$F$88,RAB!$C$14:$C$88,C246)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SUMIFS(RAB!$F$14:$F$88,RAB!$C$14:$C$88,C247)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SUMIFS(RAB!$F$14:$F$88,RAB!$C$14:$C$88,C248)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SUMIFS(RAB!$F$14:$F$88,RAB!$C$14:$C$88,C249)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SUMIFS(RAB!$F$14:$F$88,RAB!$C$14:$C$88,C250)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SUMIFS(RAB!$F$14:$F$88,RAB!$C$14:$C$88,C251)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SUMIFS(RAB!$F$14:$F$88,RAB!$C$14:$C$88,C252)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SUMIFS(RAB!$F$14:$F$88,RAB!$C$14:$C$88,C253)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SUMIFS(RAB!$F$14:$F$88,RAB!$C$14:$C$88,C254)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SUMIFS(RAB!$F$14:$F$88,RAB!$C$14:$C$88,C255)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SUMIFS(RAB!$F$14:$F$88,RAB!$C$14:$C$88,C256)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SUMIFS(RAB!$F$14:$F$88,RAB!$C$14:$C$88,C257)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SUMIFS(RAB!$F$14:$F$88,RAB!$C$14:$C$88,C258)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SUMIFS(RAB!$F$14:$F$88,RAB!$C$14:$C$88,C259)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SUMIFS(RAB!$F$14:$F$88,RAB!$C$14:$C$88,C260)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SUMIFS(RAB!$F$14:$F$88,RAB!$C$14:$C$88,C261)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SUMIFS(RAB!$F$14:$F$88,RAB!$C$14:$C$88,C262)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SUMIFS(RAB!$F$14:$F$88,RAB!$C$14:$C$88,C263)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SUMIFS(RAB!$F$14:$F$88,RAB!$C$14:$C$88,C264)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SUMIFS(RAB!$F$14:$F$88,RAB!$C$14:$C$88,C265)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SUMIFS(RAB!$F$14:$F$88,RAB!$C$14:$C$88,C266)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SUMIFS(RAB!$F$14:$F$88,RAB!$C$14:$C$88,C267)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SUMIFS(RAB!$F$14:$F$88,RAB!$C$14:$C$88,C268)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SUMIFS(RAB!$F$14:$F$88,RAB!$C$14:$C$88,C269)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SUMIFS(RAB!$F$14:$F$88,RAB!$C$14:$C$88,C270)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SUMIFS(RAB!$F$14:$F$88,RAB!$C$14:$C$88,C271)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SUMIFS(RAB!$F$14:$F$88,RAB!$C$14:$C$88,C272)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SUMIFS(RAB!$F$14:$F$88,RAB!$C$14:$C$88,C273)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SUMIFS(RAB!$F$14:$F$88,RAB!$C$14:$C$88,C274)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SUMIFS(RAB!$F$14:$F$88,RAB!$C$14:$C$88,C275)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SUMIFS(RAB!$F$14:$F$88,RAB!$C$14:$C$88,C276)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SUMIFS(RAB!$F$14:$F$88,RAB!$C$14:$C$88,C277)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SUMIFS(RAB!$F$14:$F$88,RAB!$C$14:$C$88,C278)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SUMIFS(RAB!$F$14:$F$88,RAB!$C$14:$C$88,C279)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SUMIFS(RAB!$F$14:$F$88,RAB!$C$14:$C$88,C280)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SUMIFS(RAB!$F$14:$F$88,RAB!$C$14:$C$88,C281)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SUMIFS(RAB!$F$14:$F$88,RAB!$C$14:$C$88,C282)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SUMIFS(RAB!$F$14:$F$88,RAB!$C$14:$C$88,C283)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SUMIFS(RAB!$F$14:$F$88,RAB!$C$14:$C$88,C284)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SUMIFS(RAB!$F$14:$F$88,RAB!$C$14:$C$88,C285)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SUMIFS(RAB!$F$14:$F$88,RAB!$C$14:$C$88,C286)</f>
        <v>1</v>
      </c>
      <c r="E286" s="24">
        <f t="shared" ca="1" si="21"/>
        <v>1</v>
      </c>
      <c r="F286" s="24">
        <f ca="1">IF(D286=0,0,SUM($E$223:E286))</f>
        <v>1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SUMIFS(RAB!$F$14:$F$88,RAB!$C$14:$C$88,C287)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SUMIFS(RAB!$F$14:$F$88,RAB!$C$14:$C$88,C288)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SUMIFS(RAB!$F$14:$F$88,RAB!$C$14:$C$88,C289)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SUMIFS(RAB!$F$14:$F$88,RAB!$C$14:$C$88,C290)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SUMIFS(RAB!$F$14:$F$88,RAB!$C$14:$C$88,C291)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SUMIFS(RAB!$F$14:$F$88,RAB!$C$14:$C$88,C292)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SUMIFS(RAB!$F$14:$F$88,RAB!$C$14:$C$88,C293)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SUMIFS(RAB!$F$14:$F$88,RAB!$C$14:$C$88,C294)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SUMIFS(RAB!$F$14:$F$88,RAB!$C$14:$C$88,C295)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SUMIFS(RAB!$F$14:$F$88,RAB!$C$14:$C$88,C296)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SUMIFS(RAB!$F$14:$F$88,RAB!$C$14:$C$88,C297)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SUMIFS(RAB!$F$14:$F$88,RAB!$C$14:$C$88,C298)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SUMIFS(RAB!$F$14:$F$88,RAB!$C$14:$C$88,C299)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SUMIFS(RAB!$F$14:$F$88,RAB!$C$14:$C$88,C300)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SUMIFS(RAB!$F$14:$F$88,RAB!$C$14:$C$88,C301)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SUMIFS(RAB!$F$14:$F$88,RAB!$C$14:$C$88,C302)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SUMIFS(RAB!$F$14:$F$88,RAB!$C$14:$C$88,C303)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SUMIFS(RAB!$F$14:$F$88,RAB!$C$14:$C$88,C304)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SUMIFS(RAB!$F$14:$F$88,RAB!$C$14:$C$88,C305)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SUMIFS(RAB!$F$14:$F$88,RAB!$C$14:$C$88,C306)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SUMIFS(RAB!$F$14:$F$88,RAB!$C$14:$C$88,C307)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SUMIFS(RAB!$F$14:$F$88,RAB!$C$14:$C$88,C308)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SUMIFS(RAB!$F$14:$F$88,RAB!$C$14:$C$88,C309)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SUMIFS(RAB!$F$14:$F$88,RAB!$C$14:$C$88,C310)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SUMIFS(RAB!$F$14:$F$88,RAB!$C$14:$C$88,C311)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SUMIFS(RAB!$F$14:$F$88,RAB!$C$14:$C$88,C312)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SUMIFS(RAB!$F$14:$F$88,RAB!$C$14:$C$88,C313)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SUMIFS(RAB!$F$14:$F$88,RAB!$C$14:$C$88,C314)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SUMIFS(RAB!$F$14:$F$88,RAB!$C$14:$C$88,C315)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SUMIFS(RAB!$F$14:$F$88,RAB!$C$14:$C$88,C316)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SUMIFS(RAB!$F$14:$F$88,RAB!$C$14:$C$88,C317)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SUMIFS(RAB!$F$14:$F$88,RAB!$C$14:$C$88,C318)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SUMIFS(RAB!$F$14:$F$88,RAB!$C$14:$C$88,C319)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SUMIFS(RAB!$F$14:$F$88,RAB!$C$14:$C$88,C320)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SUMIFS(RAB!$F$14:$F$88,RAB!$C$14:$C$88,C321)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SUMIFS(RAB!$F$14:$F$88,RAB!$C$14:$C$88,C322)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SUMIFS(RAB!$F$14:$F$88,RAB!$C$14:$C$88,C323)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SUMIFS(RAB!$F$14:$F$88,RAB!$C$14:$C$88,C324)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SUMIFS(RAB!$F$14:$F$88,RAB!$C$14:$C$88,C325)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SUMIFS(RAB!$F$14:$F$88,RAB!$C$14:$C$88,C326)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SUMIFS(RAB!$F$14:$F$88,RAB!$C$14:$C$88,C327)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SUMIFS(RAB!$F$14:$F$88,RAB!$C$14:$C$88,C328)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SUMIFS(RAB!$F$14:$F$88,RAB!$C$14:$C$88,C329)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SUMIFS(RAB!$F$14:$F$88,RAB!$C$14:$C$88,C330)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SUMIFS(RAB!$F$14:$F$88,RAB!$C$14:$C$88,C331)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SUMIFS(RAB!$F$14:$F$88,RAB!$C$14:$C$88,C332)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SUMIFS(RAB!$F$14:$F$88,RAB!$C$14:$C$88,C333)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SUMIFS(RAB!$F$14:$F$88,RAB!$C$14:$C$88,C334)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SUMIFS(RAB!$F$14:$F$88,RAB!$C$14:$C$88,C335)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SUMIFS(RAB!$F$14:$F$88,RAB!$C$14:$C$88,C336)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SUMIFS(RAB!$F$14:$F$88,RAB!$C$14:$C$88,C337)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SUMIFS(RAB!$F$14:$F$88,RAB!$C$14:$C$88,C338)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SUMIFS(RAB!$F$14:$F$88,RAB!$C$14:$C$88,C339)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SUMIFS(RAB!$F$14:$F$88,RAB!$C$14:$C$88,C340)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SUMIFS(RAB!$F$14:$F$88,RAB!$C$14:$C$88,C341)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SUMIFS(RAB!$F$14:$F$88,RAB!$C$14:$C$88,C342)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SUMIFS(RAB!$F$14:$F$88,RAB!$C$14:$C$88,C343)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SUMIFS(RAB!$F$14:$F$88,RAB!$C$14:$C$88,C344)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SUMIFS(RAB!$F$14:$F$88,RAB!$C$14:$C$88,C345)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SUMIFS(RAB!$F$14:$F$88,RAB!$C$14:$C$88,C346)</f>
        <v>250</v>
      </c>
      <c r="E346" s="24">
        <f t="shared" ca="1" si="22"/>
        <v>1</v>
      </c>
      <c r="F346" s="24">
        <f ca="1">IF(D346=0,0,SUM($E$223:E346))</f>
        <v>2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SUMIFS(RAB!$F$14:$F$88,RAB!$C$14:$C$88,C347)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SUMIFS(RAB!$F$14:$F$88,RAB!$C$14:$C$88,C348)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SUMIFS(RAB!$F$14:$F$88,RAB!$C$14:$C$88,C349)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SUMIFS(RAB!$F$14:$F$88,RAB!$C$14:$C$88,C350)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SUMIFS(RAB!$F$14:$F$88,RAB!$C$14:$C$88,C351)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SUMIFS(RAB!$F$14:$F$88,RAB!$C$14:$C$88,C352)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SUMIFS(RAB!$F$14:$F$88,RAB!$C$14:$C$88,C353)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SUMIFS(RAB!$F$14:$F$88,RAB!$C$14:$C$88,C354)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SUMIFS(RAB!$F$14:$F$88,RAB!$C$14:$C$88,C355)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SUMIFS(RAB!$F$14:$F$88,RAB!$C$14:$C$88,C356)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SUMIFS(RAB!$F$14:$F$88,RAB!$C$14:$C$88,C357)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SUMIFS(RAB!$F$14:$F$88,RAB!$C$14:$C$88,C358)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SUMIFS(RAB!$F$14:$F$88,RAB!$C$14:$C$88,C359)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SUMIFS(RAB!$F$14:$F$88,RAB!$C$14:$C$88,C360)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SUMIFS(RAB!$F$14:$F$88,RAB!$C$14:$C$88,C361)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SUMIFS(RAB!$F$14:$F$88,RAB!$C$14:$C$88,C362)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SUMIFS(RAB!$F$14:$F$88,RAB!$C$14:$C$88,C363)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SUMIFS(RAB!$F$14:$F$88,RAB!$C$14:$C$88,C364)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SUMIFS(RAB!$F$14:$F$88,RAB!$C$14:$C$88,C365)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SUMIFS(RAB!$F$14:$F$88,RAB!$C$14:$C$88,C366)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SUMIFS(RAB!$F$14:$F$88,RAB!$C$14:$C$88,C367)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SUMIFS(RAB!$F$14:$F$88,RAB!$C$14:$C$88,C368)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SUMIFS(RAB!$F$14:$F$88,RAB!$C$14:$C$88,C369)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SUMIFS(RAB!$F$14:$F$88,RAB!$C$14:$C$88,C370)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SUMIFS(RAB!$F$14:$F$88,RAB!$C$14:$C$88,C371)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SUMIFS(RAB!$F$14:$F$88,RAB!$C$14:$C$88,C372)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SUMIFS(RAB!$F$14:$F$88,RAB!$C$14:$C$88,C373)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41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23</v>
      </c>
      <c r="C4" s="554" t="s">
        <v>1012</v>
      </c>
      <c r="D4" s="554" t="s">
        <v>42</v>
      </c>
      <c r="E4" s="553" t="s">
        <v>43</v>
      </c>
      <c r="F4" s="108" t="s">
        <v>1604</v>
      </c>
      <c r="G4" s="108" t="s">
        <v>1603</v>
      </c>
      <c r="H4" s="55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6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6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7">
        <v>2740</v>
      </c>
      <c r="G1433" s="48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8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8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8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8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8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12" sqref="D12:E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9" t="s">
        <v>1454</v>
      </c>
      <c r="C2" s="559"/>
      <c r="D2" s="559"/>
      <c r="E2" s="55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4" t="s">
        <v>1532</v>
      </c>
      <c r="C4" s="565"/>
      <c r="D4" s="565"/>
      <c r="E4" s="566"/>
      <c r="F4" s="441"/>
      <c r="G4" s="441"/>
      <c r="H4" s="442"/>
      <c r="I4" s="591" t="s">
        <v>1533</v>
      </c>
      <c r="J4" s="592"/>
      <c r="K4" s="592"/>
      <c r="L4" s="593"/>
    </row>
    <row r="5" spans="1:12" ht="34.5" customHeight="1">
      <c r="A5" s="204"/>
      <c r="B5" s="444" t="s">
        <v>1379</v>
      </c>
      <c r="C5" s="277" t="s">
        <v>9</v>
      </c>
      <c r="D5" s="560" t="str">
        <f>DATA!D14</f>
        <v>NUR WACHID AHMAD</v>
      </c>
      <c r="E5" s="561"/>
      <c r="F5" s="208"/>
      <c r="G5" s="208"/>
      <c r="I5" s="445" t="s">
        <v>1379</v>
      </c>
      <c r="J5" s="277" t="s">
        <v>9</v>
      </c>
      <c r="K5" s="594" t="str">
        <f>D5</f>
        <v>NUR WACHID AHMAD</v>
      </c>
      <c r="L5" s="595"/>
    </row>
    <row r="6" spans="1:12" ht="31.5" customHeight="1">
      <c r="A6" s="204"/>
      <c r="B6" s="444" t="s">
        <v>1529</v>
      </c>
      <c r="C6" s="277" t="s">
        <v>9</v>
      </c>
      <c r="D6" s="569">
        <f>DATA!D17*1000</f>
        <v>0</v>
      </c>
      <c r="E6" s="570"/>
      <c r="F6" s="208"/>
      <c r="G6" s="208"/>
      <c r="I6" s="445" t="s">
        <v>1530</v>
      </c>
      <c r="J6" s="277" t="s">
        <v>9</v>
      </c>
      <c r="K6" s="596">
        <f>DATA!D20*1000</f>
        <v>6600</v>
      </c>
      <c r="L6" s="597"/>
    </row>
    <row r="7" spans="1:12" ht="30.75" customHeight="1">
      <c r="A7" s="204"/>
      <c r="B7" s="444" t="s">
        <v>1441</v>
      </c>
      <c r="C7" s="277" t="s">
        <v>9</v>
      </c>
      <c r="D7" s="567">
        <f>DATA!D18</f>
        <v>1</v>
      </c>
      <c r="E7" s="568"/>
      <c r="F7" s="443" t="s">
        <v>1453</v>
      </c>
      <c r="I7" s="445" t="s">
        <v>1441</v>
      </c>
      <c r="J7" s="277" t="s">
        <v>9</v>
      </c>
      <c r="K7" s="598">
        <f>DATA!D21</f>
        <v>1</v>
      </c>
      <c r="L7" s="599"/>
    </row>
    <row r="8" spans="1:12" ht="51" customHeight="1">
      <c r="A8" s="204"/>
      <c r="B8" s="444" t="s">
        <v>1442</v>
      </c>
      <c r="C8" s="277" t="s">
        <v>9</v>
      </c>
      <c r="D8" s="567">
        <f>DATA!D19</f>
        <v>220</v>
      </c>
      <c r="E8" s="568"/>
      <c r="F8" s="443" t="s">
        <v>1453</v>
      </c>
      <c r="G8" s="438">
        <v>220</v>
      </c>
      <c r="I8" s="445" t="s">
        <v>1442</v>
      </c>
      <c r="J8" s="277" t="s">
        <v>9</v>
      </c>
      <c r="K8" s="598">
        <f>DATA!D22</f>
        <v>220</v>
      </c>
      <c r="L8" s="599"/>
    </row>
    <row r="9" spans="1:12" ht="30" customHeight="1" thickBot="1">
      <c r="A9" s="204"/>
      <c r="B9" s="450" t="s">
        <v>1541</v>
      </c>
      <c r="C9" s="440" t="s">
        <v>9</v>
      </c>
      <c r="D9" s="562">
        <f>IF(D7=1,D6/(380/3^0.5),(D6/(380*3^0.5)))</f>
        <v>0</v>
      </c>
      <c r="E9" s="563"/>
      <c r="F9" s="207"/>
      <c r="G9" s="439">
        <v>380</v>
      </c>
      <c r="I9" s="451" t="s">
        <v>1541</v>
      </c>
      <c r="J9" s="440" t="s">
        <v>9</v>
      </c>
      <c r="K9" s="600">
        <f>IF(K7=1,K6/(380/3^0.5),(K6/(380*3^0.5)))</f>
        <v>30.082987710406815</v>
      </c>
      <c r="L9" s="601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71"/>
      <c r="E12" s="572"/>
      <c r="F12" s="208"/>
      <c r="G12" s="208"/>
      <c r="I12" s="467" t="s">
        <v>1534</v>
      </c>
      <c r="J12" s="468" t="s">
        <v>9</v>
      </c>
      <c r="K12" s="571">
        <f>D12</f>
        <v>0</v>
      </c>
      <c r="L12" s="572"/>
    </row>
    <row r="13" spans="1:12" ht="31.5" customHeight="1">
      <c r="A13" s="204"/>
      <c r="B13" s="475" t="s">
        <v>1380</v>
      </c>
      <c r="C13" s="455" t="s">
        <v>9</v>
      </c>
      <c r="D13" s="575"/>
      <c r="E13" s="576"/>
      <c r="F13" s="208"/>
      <c r="G13" s="208"/>
      <c r="I13" s="469" t="s">
        <v>1380</v>
      </c>
      <c r="J13" s="455" t="s">
        <v>9</v>
      </c>
      <c r="K13" s="575">
        <f>D13</f>
        <v>0</v>
      </c>
      <c r="L13" s="576"/>
    </row>
    <row r="14" spans="1:12" ht="30.75" customHeight="1">
      <c r="A14" s="204"/>
      <c r="B14" s="475" t="s">
        <v>1535</v>
      </c>
      <c r="C14" s="455" t="s">
        <v>9</v>
      </c>
      <c r="D14" s="583"/>
      <c r="E14" s="584"/>
      <c r="F14" s="443" t="s">
        <v>1453</v>
      </c>
      <c r="G14" s="447">
        <v>50</v>
      </c>
      <c r="I14" s="469" t="s">
        <v>1535</v>
      </c>
      <c r="J14" s="455" t="s">
        <v>9</v>
      </c>
      <c r="K14" s="585">
        <v>100</v>
      </c>
      <c r="L14" s="586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87">
        <v>0</v>
      </c>
      <c r="E16" s="588"/>
      <c r="F16" s="443"/>
      <c r="G16" s="447">
        <v>160</v>
      </c>
      <c r="I16" s="469" t="s">
        <v>1537</v>
      </c>
      <c r="J16" s="455" t="s">
        <v>9</v>
      </c>
      <c r="K16" s="589">
        <f>K9</f>
        <v>30.082987710406815</v>
      </c>
      <c r="L16" s="590"/>
    </row>
    <row r="17" spans="1:12" ht="34.5" customHeight="1">
      <c r="A17" s="204"/>
      <c r="B17" s="475" t="s">
        <v>1538</v>
      </c>
      <c r="C17" s="455" t="s">
        <v>9</v>
      </c>
      <c r="D17" s="577">
        <f>IF(D15=1,D14/(20/3^0.5),(D14/(20*3^0.5)))</f>
        <v>0</v>
      </c>
      <c r="E17" s="578"/>
      <c r="F17" s="443" t="s">
        <v>1453</v>
      </c>
      <c r="G17" s="448">
        <v>200</v>
      </c>
      <c r="I17" s="469" t="s">
        <v>1538</v>
      </c>
      <c r="J17" s="455" t="s">
        <v>9</v>
      </c>
      <c r="K17" s="581">
        <f>IF(K15=1,K14/(20/3^0.5),(K14/(20*3^0.5)))</f>
        <v>2.8867513459481291</v>
      </c>
      <c r="L17" s="582"/>
    </row>
    <row r="18" spans="1:12" ht="34.5" customHeight="1">
      <c r="A18" s="204"/>
      <c r="B18" s="475" t="s">
        <v>1539</v>
      </c>
      <c r="C18" s="455" t="s">
        <v>9</v>
      </c>
      <c r="D18" s="577">
        <f>IF(D15=1,D14/(380/3^0.5),(D14/(380*3^0.5)))*1000</f>
        <v>0</v>
      </c>
      <c r="E18" s="578"/>
      <c r="F18" s="443" t="s">
        <v>1453</v>
      </c>
      <c r="G18" s="448">
        <v>250</v>
      </c>
      <c r="I18" s="469" t="s">
        <v>1539</v>
      </c>
      <c r="J18" s="455" t="s">
        <v>9</v>
      </c>
      <c r="K18" s="581">
        <f>IF(K15=1,K14/(380/3^0.5),(K14/(380*3^0.5)))*1000</f>
        <v>151.93428136569102</v>
      </c>
      <c r="L18" s="582"/>
    </row>
    <row r="19" spans="1:12" ht="30" customHeight="1">
      <c r="A19" s="204"/>
      <c r="B19" s="476" t="s">
        <v>1531</v>
      </c>
      <c r="C19" s="454" t="s">
        <v>9</v>
      </c>
      <c r="D19" s="577">
        <f>IF(D15=1,D14/(380/3^0.5),(D14/(380*3^0.5)))</f>
        <v>0</v>
      </c>
      <c r="E19" s="578"/>
      <c r="F19" s="207"/>
      <c r="G19" s="439"/>
      <c r="I19" s="471" t="s">
        <v>1531</v>
      </c>
      <c r="J19" s="454" t="s">
        <v>9</v>
      </c>
      <c r="K19" s="581">
        <f>IF(K15=1,K14/(380/3^0.5),(K14/(380*3^0.5)))</f>
        <v>0.15193428136569101</v>
      </c>
      <c r="L19" s="582"/>
    </row>
    <row r="20" spans="1:12" ht="30" customHeight="1" thickBot="1">
      <c r="A20" s="204"/>
      <c r="B20" s="477" t="s">
        <v>1540</v>
      </c>
      <c r="C20" s="473" t="s">
        <v>9</v>
      </c>
      <c r="D20" s="573" t="e">
        <f>D16/D18</f>
        <v>#DIV/0!</v>
      </c>
      <c r="E20" s="574"/>
      <c r="F20" s="207"/>
      <c r="G20" s="439"/>
      <c r="I20" s="472" t="s">
        <v>1531</v>
      </c>
      <c r="J20" s="473" t="s">
        <v>9</v>
      </c>
      <c r="K20" s="579">
        <f>K16/K18</f>
        <v>0.19799999999999995</v>
      </c>
      <c r="L20" s="580"/>
    </row>
    <row r="21" spans="1:12" ht="9.75" customHeight="1">
      <c r="A21" s="204"/>
      <c r="B21" s="462" t="s">
        <v>1540</v>
      </c>
      <c r="C21" s="463" t="s">
        <v>9</v>
      </c>
      <c r="D21" s="558">
        <v>1</v>
      </c>
      <c r="E21" s="558"/>
      <c r="F21" s="464"/>
      <c r="G21" s="465"/>
      <c r="H21" s="466"/>
      <c r="I21" s="462" t="s">
        <v>1531</v>
      </c>
      <c r="J21" s="463" t="s">
        <v>9</v>
      </c>
      <c r="K21" s="558">
        <v>1</v>
      </c>
      <c r="L21" s="558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55"/>
      <c r="C24" s="556"/>
      <c r="D24" s="556"/>
      <c r="E24" s="557"/>
      <c r="I24" s="555"/>
      <c r="J24" s="556"/>
      <c r="K24" s="556"/>
      <c r="L24" s="557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2"/>
      <c r="C1" s="602"/>
      <c r="D1" s="60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0">
        <v>1084.1250458865841</v>
      </c>
      <c r="F5" s="485" t="s">
        <v>1605</v>
      </c>
      <c r="K5" s="484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5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6395400</v>
      </c>
    </row>
    <row r="10" spans="2:11" ht="20.100000000000001" customHeight="1">
      <c r="B10" s="291" t="s">
        <v>1446</v>
      </c>
      <c r="C10" s="292" t="s">
        <v>9</v>
      </c>
      <c r="D10" s="298">
        <f ca="1">RAB!K94</f>
        <v>37924891.534500003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758497.83069000009</v>
      </c>
    </row>
    <row r="12" spans="2:11" ht="9" customHeight="1">
      <c r="B12" s="603"/>
      <c r="C12" s="603"/>
      <c r="D12" s="603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1633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1632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6.6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4" t="s">
        <v>1357</v>
      </c>
      <c r="C3" s="604"/>
      <c r="D3" s="604"/>
      <c r="E3" s="604"/>
      <c r="F3" s="305" t="str">
        <f>DATA!D14</f>
        <v>NUR WACHID AHMAD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06" t="s">
        <v>1359</v>
      </c>
      <c r="E5" s="606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9" t="s">
        <v>1363</v>
      </c>
      <c r="O5" s="606" t="s">
        <v>1364</v>
      </c>
      <c r="P5" s="606" t="s">
        <v>1365</v>
      </c>
      <c r="Q5" s="606" t="s">
        <v>1366</v>
      </c>
      <c r="R5" s="308"/>
      <c r="S5" s="309"/>
      <c r="T5" s="607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0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8">
        <f>DATA!D8*DATA!D26*1</f>
        <v>264</v>
      </c>
      <c r="D7" s="316">
        <f>C7*4/24</f>
        <v>44</v>
      </c>
      <c r="E7" s="316">
        <f>C7-D7</f>
        <v>220</v>
      </c>
      <c r="F7" s="317">
        <f ca="1">DATA!D10/1000000</f>
        <v>37.924891534500006</v>
      </c>
      <c r="G7" s="318">
        <f ca="1">DATA!$D$11/1000000</f>
        <v>0.7584978306900001</v>
      </c>
      <c r="H7" s="318">
        <f>C7*DATA!$D$5/1000000</f>
        <v>0.28620901211405819</v>
      </c>
      <c r="I7" s="318">
        <f>(C7*DATA!$D$5*DATA!$D$7)/1000000</f>
        <v>6.4397027725663089E-3</v>
      </c>
      <c r="J7" s="316">
        <f ca="1">SUM(F7:I7)</f>
        <v>38.976038080076627</v>
      </c>
      <c r="K7" s="319">
        <f>DATA!D9/1000000</f>
        <v>6.3954000000000004</v>
      </c>
      <c r="L7" s="316">
        <f>((D7*DATA!$D$23)/1000000)+((E7*DATA!$D$24)/1000000)</f>
        <v>0.38140079999999998</v>
      </c>
      <c r="M7" s="316">
        <f>K7+L7</f>
        <v>6.7768008000000002</v>
      </c>
      <c r="N7" s="316">
        <f ca="1">M7-J7</f>
        <v>-32.19923728007663</v>
      </c>
      <c r="O7" s="314">
        <v>1</v>
      </c>
      <c r="P7" s="316">
        <f ca="1">O7*N7</f>
        <v>-32.19923728007663</v>
      </c>
      <c r="Q7" s="316">
        <f ca="1">P7</f>
        <v>-32.19923728007663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3168</v>
      </c>
      <c r="D8" s="316">
        <f>C8*4/24</f>
        <v>528</v>
      </c>
      <c r="E8" s="316">
        <f t="shared" ref="E8:E32" si="0">C8-D8</f>
        <v>2640</v>
      </c>
      <c r="F8" s="314"/>
      <c r="G8" s="318">
        <f ca="1">DATA!$D$11/1000000</f>
        <v>0.7584978306900001</v>
      </c>
      <c r="H8" s="318">
        <f>C8*DATA!$D$5/1000000</f>
        <v>3.4345081453686985</v>
      </c>
      <c r="I8" s="318">
        <f>(C8*DATA!$D$5*DATA!$D$7)/1000000</f>
        <v>7.7276433270795711E-2</v>
      </c>
      <c r="J8" s="316">
        <f t="shared" ref="J8:J32" ca="1" si="1">SUM(F8:I8)</f>
        <v>4.2702824093294938</v>
      </c>
      <c r="K8" s="321"/>
      <c r="L8" s="316">
        <f>((D8*DATA!$D$23)/1000000)+((E8*DATA!$D$24)/1000000)</f>
        <v>4.5768095999999998</v>
      </c>
      <c r="M8" s="316">
        <f t="shared" ref="M8:M32" si="2">K8+L8</f>
        <v>4.5768095999999998</v>
      </c>
      <c r="N8" s="316">
        <f ca="1">M8-J8</f>
        <v>0.30652719067050604</v>
      </c>
      <c r="O8" s="315">
        <f>1/(1+'[93]Asumsi I'!$C$3)^(KKF!A8)</f>
        <v>0.89285714285714279</v>
      </c>
      <c r="P8" s="316">
        <f ca="1">O8*N8</f>
        <v>0.27368499167009469</v>
      </c>
      <c r="Q8" s="316">
        <f ca="1">Q7+P8</f>
        <v>-31.925552288406536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3168</v>
      </c>
      <c r="D9" s="316">
        <f t="shared" ref="D9:D32" si="5">C9*4/24</f>
        <v>528</v>
      </c>
      <c r="E9" s="316">
        <f t="shared" si="0"/>
        <v>2640</v>
      </c>
      <c r="F9" s="314"/>
      <c r="G9" s="318">
        <f ca="1">DATA!$D$11/1000000</f>
        <v>0.7584978306900001</v>
      </c>
      <c r="H9" s="318">
        <f>C9*DATA!$D$5/1000000</f>
        <v>3.4345081453686985</v>
      </c>
      <c r="I9" s="318">
        <f>(C9*DATA!$D$5*DATA!$D$7)/1000000</f>
        <v>7.7276433270795711E-2</v>
      </c>
      <c r="J9" s="316">
        <f t="shared" ca="1" si="1"/>
        <v>4.2702824093294938</v>
      </c>
      <c r="K9" s="316"/>
      <c r="L9" s="316">
        <f>((D9*DATA!$D$23)/1000000)+((E9*DATA!$D$24)/1000000)</f>
        <v>4.5768095999999998</v>
      </c>
      <c r="M9" s="316">
        <f t="shared" si="2"/>
        <v>4.5768095999999998</v>
      </c>
      <c r="N9" s="316">
        <f t="shared" ref="N9:N32" ca="1" si="6">M9-J9</f>
        <v>0.30652719067050604</v>
      </c>
      <c r="O9" s="322">
        <f>1/(1+'[93]Asumsi I'!$C$3)^(KKF!A9)</f>
        <v>0.79719387755102034</v>
      </c>
      <c r="P9" s="316">
        <f t="shared" ref="P9:P32" ca="1" si="7">O9*N9</f>
        <v>0.24436159970544166</v>
      </c>
      <c r="Q9" s="316">
        <f ca="1">Q8+P9</f>
        <v>-31.681190688701093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3168</v>
      </c>
      <c r="D10" s="316">
        <f t="shared" si="5"/>
        <v>528</v>
      </c>
      <c r="E10" s="316">
        <f t="shared" si="0"/>
        <v>2640</v>
      </c>
      <c r="F10" s="314"/>
      <c r="G10" s="318">
        <f ca="1">DATA!$D$11/1000000</f>
        <v>0.7584978306900001</v>
      </c>
      <c r="H10" s="318">
        <f>C10*DATA!$D$5/1000000</f>
        <v>3.4345081453686985</v>
      </c>
      <c r="I10" s="318">
        <f>(C10*DATA!$D$5*DATA!$D$7)/1000000</f>
        <v>7.7276433270795711E-2</v>
      </c>
      <c r="J10" s="316">
        <f t="shared" ca="1" si="1"/>
        <v>4.2702824093294938</v>
      </c>
      <c r="K10" s="314"/>
      <c r="L10" s="316">
        <f>((D10*DATA!$D$23)/1000000)+((E10*DATA!$D$24)/1000000)</f>
        <v>4.5768095999999998</v>
      </c>
      <c r="M10" s="316">
        <f t="shared" si="2"/>
        <v>4.5768095999999998</v>
      </c>
      <c r="N10" s="316">
        <f t="shared" ca="1" si="6"/>
        <v>0.30652719067050604</v>
      </c>
      <c r="O10" s="315">
        <f>1/(1+'[93]Asumsi I'!$C$3)^(KKF!A10)</f>
        <v>0.71178024781341087</v>
      </c>
      <c r="P10" s="316">
        <f t="shared" ca="1" si="7"/>
        <v>0.21817999973700145</v>
      </c>
      <c r="Q10" s="316">
        <f t="shared" ref="Q10:Q30" ca="1" si="9">Q9+P10</f>
        <v>-31.463010688964093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3168</v>
      </c>
      <c r="D11" s="316">
        <f t="shared" si="5"/>
        <v>528</v>
      </c>
      <c r="E11" s="316">
        <f t="shared" si="0"/>
        <v>2640</v>
      </c>
      <c r="F11" s="314"/>
      <c r="G11" s="318">
        <f ca="1">DATA!$D$11/1000000</f>
        <v>0.7584978306900001</v>
      </c>
      <c r="H11" s="318">
        <f>C11*DATA!$D$5/1000000</f>
        <v>3.4345081453686985</v>
      </c>
      <c r="I11" s="318">
        <f>(C11*DATA!$D$5*DATA!$D$7)/1000000</f>
        <v>7.7276433270795711E-2</v>
      </c>
      <c r="J11" s="316">
        <f t="shared" ca="1" si="1"/>
        <v>4.2702824093294938</v>
      </c>
      <c r="K11" s="314"/>
      <c r="L11" s="316">
        <f>((D11*DATA!$D$23)/1000000)+((E11*DATA!$D$24)/1000000)</f>
        <v>4.5768095999999998</v>
      </c>
      <c r="M11" s="316">
        <f t="shared" si="2"/>
        <v>4.5768095999999998</v>
      </c>
      <c r="N11" s="316">
        <f t="shared" ca="1" si="6"/>
        <v>0.30652719067050604</v>
      </c>
      <c r="O11" s="315">
        <f>1/(1+'[93]Asumsi I'!$C$3)^(KKF!A11)</f>
        <v>0.63551807840483121</v>
      </c>
      <c r="P11" s="316">
        <f t="shared" ca="1" si="7"/>
        <v>0.1948035711937513</v>
      </c>
      <c r="Q11" s="316">
        <f t="shared" ca="1" si="9"/>
        <v>-31.268207117770341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3168</v>
      </c>
      <c r="D12" s="316">
        <f t="shared" si="5"/>
        <v>528</v>
      </c>
      <c r="E12" s="316">
        <f t="shared" si="0"/>
        <v>2640</v>
      </c>
      <c r="F12" s="314"/>
      <c r="G12" s="318">
        <f ca="1">DATA!$D$11/1000000</f>
        <v>0.7584978306900001</v>
      </c>
      <c r="H12" s="318">
        <f>C12*DATA!$D$5/1000000</f>
        <v>3.4345081453686985</v>
      </c>
      <c r="I12" s="318">
        <f>(C12*DATA!$D$5*DATA!$D$7)/1000000</f>
        <v>7.7276433270795711E-2</v>
      </c>
      <c r="J12" s="316">
        <f t="shared" ca="1" si="1"/>
        <v>4.2702824093294938</v>
      </c>
      <c r="K12" s="314"/>
      <c r="L12" s="316">
        <f>((D12*DATA!$D$23)/1000000)+((E12*DATA!$D$24)/1000000)</f>
        <v>4.5768095999999998</v>
      </c>
      <c r="M12" s="316">
        <f t="shared" si="2"/>
        <v>4.5768095999999998</v>
      </c>
      <c r="N12" s="316">
        <f t="shared" ca="1" si="6"/>
        <v>0.30652719067050604</v>
      </c>
      <c r="O12" s="315">
        <f>1/(1+'[93]Asumsi I'!$C$3)^(KKF!A12)</f>
        <v>0.56742685571859919</v>
      </c>
      <c r="P12" s="316">
        <f t="shared" ca="1" si="7"/>
        <v>0.17393175999442079</v>
      </c>
      <c r="Q12" s="316">
        <f t="shared" ca="1" si="9"/>
        <v>-31.094275357775921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3168</v>
      </c>
      <c r="D13" s="316">
        <f t="shared" si="5"/>
        <v>528</v>
      </c>
      <c r="E13" s="316">
        <f t="shared" si="0"/>
        <v>2640</v>
      </c>
      <c r="F13" s="314"/>
      <c r="G13" s="318">
        <f ca="1">DATA!$D$11/1000000</f>
        <v>0.7584978306900001</v>
      </c>
      <c r="H13" s="318">
        <f>C13*DATA!$D$5/1000000</f>
        <v>3.4345081453686985</v>
      </c>
      <c r="I13" s="318">
        <f>(C13*DATA!$D$5*DATA!$D$7)/1000000</f>
        <v>7.7276433270795711E-2</v>
      </c>
      <c r="J13" s="316">
        <f t="shared" ca="1" si="1"/>
        <v>4.2702824093294938</v>
      </c>
      <c r="K13" s="314"/>
      <c r="L13" s="316">
        <f>((D13*DATA!$D$23)/1000000)+((E13*DATA!$D$24)/1000000)</f>
        <v>4.5768095999999998</v>
      </c>
      <c r="M13" s="316">
        <f t="shared" si="2"/>
        <v>4.5768095999999998</v>
      </c>
      <c r="N13" s="316">
        <f t="shared" ca="1" si="6"/>
        <v>0.30652719067050604</v>
      </c>
      <c r="O13" s="315">
        <f>1/(1+'[93]Asumsi I'!$C$3)^(KKF!A13)</f>
        <v>0.50663112117732068</v>
      </c>
      <c r="P13" s="316">
        <f t="shared" ca="1" si="7"/>
        <v>0.15529621428073281</v>
      </c>
      <c r="Q13" s="316">
        <f t="shared" ca="1" si="9"/>
        <v>-30.938979143495189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3168</v>
      </c>
      <c r="D14" s="316">
        <f t="shared" si="5"/>
        <v>528</v>
      </c>
      <c r="E14" s="316">
        <f t="shared" si="0"/>
        <v>2640</v>
      </c>
      <c r="F14" s="314"/>
      <c r="G14" s="318">
        <f ca="1">DATA!$D$11/1000000</f>
        <v>0.7584978306900001</v>
      </c>
      <c r="H14" s="318">
        <f>C14*DATA!$D$5/1000000</f>
        <v>3.4345081453686985</v>
      </c>
      <c r="I14" s="318">
        <f>(C14*DATA!$D$5*DATA!$D$7)/1000000</f>
        <v>7.7276433270795711E-2</v>
      </c>
      <c r="J14" s="316">
        <f t="shared" ca="1" si="1"/>
        <v>4.2702824093294938</v>
      </c>
      <c r="K14" s="314"/>
      <c r="L14" s="316">
        <f>((D14*DATA!$D$23)/1000000)+((E14*DATA!$D$24)/1000000)</f>
        <v>4.5768095999999998</v>
      </c>
      <c r="M14" s="316">
        <f t="shared" si="2"/>
        <v>4.5768095999999998</v>
      </c>
      <c r="N14" s="316">
        <f t="shared" ca="1" si="6"/>
        <v>0.30652719067050604</v>
      </c>
      <c r="O14" s="315">
        <f>1/(1+'[93]Asumsi I'!$C$3)^(KKF!A14)</f>
        <v>0.45234921533689343</v>
      </c>
      <c r="P14" s="316">
        <f t="shared" ca="1" si="7"/>
        <v>0.13865733417922574</v>
      </c>
      <c r="Q14" s="316">
        <f t="shared" ca="1" si="9"/>
        <v>-30.800321809315964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3168</v>
      </c>
      <c r="D15" s="316">
        <f t="shared" si="5"/>
        <v>528</v>
      </c>
      <c r="E15" s="316">
        <f t="shared" si="0"/>
        <v>2640</v>
      </c>
      <c r="F15" s="314"/>
      <c r="G15" s="318">
        <f ca="1">DATA!$D$11/1000000</f>
        <v>0.7584978306900001</v>
      </c>
      <c r="H15" s="318">
        <f>C15*DATA!$D$5/1000000</f>
        <v>3.4345081453686985</v>
      </c>
      <c r="I15" s="318">
        <f>(C15*DATA!$D$5*DATA!$D$7)/1000000</f>
        <v>7.7276433270795711E-2</v>
      </c>
      <c r="J15" s="316">
        <f t="shared" ca="1" si="1"/>
        <v>4.2702824093294938</v>
      </c>
      <c r="K15" s="314"/>
      <c r="L15" s="316">
        <f>((D15*DATA!$D$23)/1000000)+((E15*DATA!$D$24)/1000000)</f>
        <v>4.5768095999999998</v>
      </c>
      <c r="M15" s="316">
        <f t="shared" si="2"/>
        <v>4.5768095999999998</v>
      </c>
      <c r="N15" s="316">
        <f t="shared" ca="1" si="6"/>
        <v>0.30652719067050604</v>
      </c>
      <c r="O15" s="315">
        <f>1/(1+'[93]Asumsi I'!$C$3)^(KKF!A15)</f>
        <v>0.4038832279793691</v>
      </c>
      <c r="P15" s="316">
        <f t="shared" ca="1" si="7"/>
        <v>0.12380119123145153</v>
      </c>
      <c r="Q15" s="316">
        <f t="shared" ca="1" si="9"/>
        <v>-30.676520618084513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3168</v>
      </c>
      <c r="D16" s="316">
        <f t="shared" si="5"/>
        <v>528</v>
      </c>
      <c r="E16" s="316">
        <f t="shared" si="0"/>
        <v>2640</v>
      </c>
      <c r="F16" s="314"/>
      <c r="G16" s="318">
        <f ca="1">DATA!$D$11/1000000</f>
        <v>0.7584978306900001</v>
      </c>
      <c r="H16" s="318">
        <f>C16*DATA!$D$5/1000000</f>
        <v>3.4345081453686985</v>
      </c>
      <c r="I16" s="318">
        <f>(C16*DATA!$D$5*DATA!$D$7)/1000000</f>
        <v>7.7276433270795711E-2</v>
      </c>
      <c r="J16" s="316">
        <f t="shared" ca="1" si="1"/>
        <v>4.2702824093294938</v>
      </c>
      <c r="K16" s="314"/>
      <c r="L16" s="316">
        <f>((D16*DATA!$D$23)/1000000)+((E16*DATA!$D$24)/1000000)</f>
        <v>4.5768095999999998</v>
      </c>
      <c r="M16" s="316">
        <f t="shared" si="2"/>
        <v>4.5768095999999998</v>
      </c>
      <c r="N16" s="316">
        <f t="shared" ca="1" si="6"/>
        <v>0.30652719067050604</v>
      </c>
      <c r="O16" s="315">
        <f>1/(1+'[93]Asumsi I'!$C$3)^(KKF!A16)</f>
        <v>0.36061002498157957</v>
      </c>
      <c r="P16" s="316">
        <f t="shared" ca="1" si="7"/>
        <v>0.11053677788522459</v>
      </c>
      <c r="Q16" s="316">
        <f t="shared" ca="1" si="9"/>
        <v>-30.565983840199287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3168</v>
      </c>
      <c r="D17" s="316">
        <f t="shared" si="5"/>
        <v>528</v>
      </c>
      <c r="E17" s="316">
        <f t="shared" si="0"/>
        <v>2640</v>
      </c>
      <c r="F17" s="314"/>
      <c r="G17" s="318">
        <f ca="1">DATA!$D$11/1000000</f>
        <v>0.7584978306900001</v>
      </c>
      <c r="H17" s="318">
        <f>C17*DATA!$D$5/1000000</f>
        <v>3.4345081453686985</v>
      </c>
      <c r="I17" s="318">
        <f>(C17*DATA!$D$5*DATA!$D$7)/1000000</f>
        <v>7.7276433270795711E-2</v>
      </c>
      <c r="J17" s="316">
        <f t="shared" ca="1" si="1"/>
        <v>4.2702824093294938</v>
      </c>
      <c r="K17" s="314"/>
      <c r="L17" s="316">
        <f>((D17*DATA!$D$23)/1000000)+((E17*DATA!$D$24)/1000000)</f>
        <v>4.5768095999999998</v>
      </c>
      <c r="M17" s="316">
        <f t="shared" si="2"/>
        <v>4.5768095999999998</v>
      </c>
      <c r="N17" s="316">
        <f t="shared" ca="1" si="6"/>
        <v>0.30652719067050604</v>
      </c>
      <c r="O17" s="315">
        <f>1/(1+'[93]Asumsi I'!$C$3)^(KKF!A17)</f>
        <v>0.32197323659069599</v>
      </c>
      <c r="P17" s="316">
        <f t="shared" ca="1" si="7"/>
        <v>9.8693551683236222E-2</v>
      </c>
      <c r="Q17" s="316">
        <f t="shared" ca="1" si="9"/>
        <v>-30.46729028851605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3168</v>
      </c>
      <c r="D18" s="316">
        <f t="shared" si="5"/>
        <v>528</v>
      </c>
      <c r="E18" s="316">
        <f t="shared" si="0"/>
        <v>2640</v>
      </c>
      <c r="F18" s="314"/>
      <c r="G18" s="318">
        <f ca="1">DATA!$D$11/1000000</f>
        <v>0.7584978306900001</v>
      </c>
      <c r="H18" s="318">
        <f>C18*DATA!$D$5/1000000</f>
        <v>3.4345081453686985</v>
      </c>
      <c r="I18" s="318">
        <f>(C18*DATA!$D$5*DATA!$D$7)/1000000</f>
        <v>7.7276433270795711E-2</v>
      </c>
      <c r="J18" s="316">
        <f t="shared" ca="1" si="1"/>
        <v>4.2702824093294938</v>
      </c>
      <c r="K18" s="314"/>
      <c r="L18" s="316">
        <f>((D18*DATA!$D$23)/1000000)+((E18*DATA!$D$24)/1000000)</f>
        <v>4.5768095999999998</v>
      </c>
      <c r="M18" s="316">
        <f t="shared" si="2"/>
        <v>4.5768095999999998</v>
      </c>
      <c r="N18" s="316">
        <f t="shared" ca="1" si="6"/>
        <v>0.30652719067050604</v>
      </c>
      <c r="O18" s="315">
        <f>1/(1+'[93]Asumsi I'!$C$3)^(KKF!A18)</f>
        <v>0.28747610409883567</v>
      </c>
      <c r="P18" s="316">
        <f t="shared" ca="1" si="7"/>
        <v>8.8119242574318052E-2</v>
      </c>
      <c r="Q18" s="316">
        <f t="shared" ca="1" si="9"/>
        <v>-30.379171045941732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3168</v>
      </c>
      <c r="D19" s="316">
        <f t="shared" si="5"/>
        <v>528</v>
      </c>
      <c r="E19" s="316">
        <f t="shared" si="0"/>
        <v>2640</v>
      </c>
      <c r="F19" s="314"/>
      <c r="G19" s="318">
        <f ca="1">DATA!$D$11/1000000</f>
        <v>0.7584978306900001</v>
      </c>
      <c r="H19" s="318">
        <f>C19*DATA!$D$5/1000000</f>
        <v>3.4345081453686985</v>
      </c>
      <c r="I19" s="318">
        <f>(C19*DATA!$D$5*DATA!$D$7)/1000000</f>
        <v>7.7276433270795711E-2</v>
      </c>
      <c r="J19" s="316">
        <f t="shared" ca="1" si="1"/>
        <v>4.2702824093294938</v>
      </c>
      <c r="K19" s="314"/>
      <c r="L19" s="316">
        <f>((D19*DATA!$D$23)/1000000)+((E19*DATA!$D$24)/1000000)</f>
        <v>4.5768095999999998</v>
      </c>
      <c r="M19" s="316">
        <f t="shared" si="2"/>
        <v>4.5768095999999998</v>
      </c>
      <c r="N19" s="316">
        <f t="shared" ca="1" si="6"/>
        <v>0.30652719067050604</v>
      </c>
      <c r="O19" s="315">
        <f>1/(1+'[93]Asumsi I'!$C$3)^(KKF!A19)</f>
        <v>0.25667509294538904</v>
      </c>
      <c r="P19" s="316">
        <f t="shared" ca="1" si="7"/>
        <v>7.8677895155641123E-2</v>
      </c>
      <c r="Q19" s="316">
        <f t="shared" ca="1" si="9"/>
        <v>-30.300493150786089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3168</v>
      </c>
      <c r="D20" s="316">
        <f t="shared" si="5"/>
        <v>528</v>
      </c>
      <c r="E20" s="316">
        <f t="shared" si="0"/>
        <v>2640</v>
      </c>
      <c r="F20" s="314"/>
      <c r="G20" s="318">
        <f ca="1">DATA!$D$11/1000000</f>
        <v>0.7584978306900001</v>
      </c>
      <c r="H20" s="318">
        <f>C20*DATA!$D$5/1000000</f>
        <v>3.4345081453686985</v>
      </c>
      <c r="I20" s="318">
        <f>(C20*DATA!$D$5*DATA!$D$7)/1000000</f>
        <v>7.7276433270795711E-2</v>
      </c>
      <c r="J20" s="316">
        <f t="shared" ca="1" si="1"/>
        <v>4.2702824093294938</v>
      </c>
      <c r="K20" s="314"/>
      <c r="L20" s="316">
        <f>((D20*DATA!$D$23)/1000000)+((E20*DATA!$D$24)/1000000)</f>
        <v>4.5768095999999998</v>
      </c>
      <c r="M20" s="316">
        <f t="shared" si="2"/>
        <v>4.5768095999999998</v>
      </c>
      <c r="N20" s="316">
        <f t="shared" ca="1" si="6"/>
        <v>0.30652719067050604</v>
      </c>
      <c r="O20" s="315">
        <f>1/(1+'[93]Asumsi I'!$C$3)^(KKF!A20)</f>
        <v>0.22917419012981158</v>
      </c>
      <c r="P20" s="316">
        <f t="shared" ca="1" si="7"/>
        <v>7.0248120674679559E-2</v>
      </c>
      <c r="Q20" s="316">
        <f t="shared" ca="1" si="9"/>
        <v>-30.230245030111409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3168</v>
      </c>
      <c r="D21" s="316">
        <f t="shared" si="5"/>
        <v>528</v>
      </c>
      <c r="E21" s="316">
        <f t="shared" si="0"/>
        <v>2640</v>
      </c>
      <c r="F21" s="314"/>
      <c r="G21" s="318">
        <f ca="1">DATA!$D$11/1000000</f>
        <v>0.7584978306900001</v>
      </c>
      <c r="H21" s="318">
        <f>C21*DATA!$D$5/1000000</f>
        <v>3.4345081453686985</v>
      </c>
      <c r="I21" s="318">
        <f>(C21*DATA!$D$5*DATA!$D$7)/1000000</f>
        <v>7.7276433270795711E-2</v>
      </c>
      <c r="J21" s="316">
        <f t="shared" ca="1" si="1"/>
        <v>4.2702824093294938</v>
      </c>
      <c r="K21" s="314"/>
      <c r="L21" s="316">
        <f>((D21*DATA!$D$23)/1000000)+((E21*DATA!$D$24)/1000000)</f>
        <v>4.5768095999999998</v>
      </c>
      <c r="M21" s="316">
        <f t="shared" si="2"/>
        <v>4.5768095999999998</v>
      </c>
      <c r="N21" s="316">
        <f t="shared" ca="1" si="6"/>
        <v>0.30652719067050604</v>
      </c>
      <c r="O21" s="315">
        <f>1/(1+'[93]Asumsi I'!$C$3)^(KKF!A21)</f>
        <v>0.20461981261590317</v>
      </c>
      <c r="P21" s="316">
        <f t="shared" ca="1" si="7"/>
        <v>6.2721536316678164E-2</v>
      </c>
      <c r="Q21" s="316">
        <f t="shared" ca="1" si="9"/>
        <v>-30.167523493794729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3168</v>
      </c>
      <c r="D22" s="316">
        <f t="shared" si="5"/>
        <v>528</v>
      </c>
      <c r="E22" s="316">
        <f t="shared" si="0"/>
        <v>2640</v>
      </c>
      <c r="F22" s="314"/>
      <c r="G22" s="318">
        <f ca="1">DATA!$D$11/1000000</f>
        <v>0.7584978306900001</v>
      </c>
      <c r="H22" s="318">
        <f>C22*DATA!$D$5/1000000</f>
        <v>3.4345081453686985</v>
      </c>
      <c r="I22" s="318">
        <f>(C22*DATA!$D$5*DATA!$D$7)/1000000</f>
        <v>7.7276433270795711E-2</v>
      </c>
      <c r="J22" s="316">
        <f t="shared" ca="1" si="1"/>
        <v>4.2702824093294938</v>
      </c>
      <c r="K22" s="314"/>
      <c r="L22" s="316">
        <f>((D22*DATA!$D$23)/1000000)+((E22*DATA!$D$24)/1000000)</f>
        <v>4.5768095999999998</v>
      </c>
      <c r="M22" s="316">
        <f t="shared" si="2"/>
        <v>4.5768095999999998</v>
      </c>
      <c r="N22" s="316">
        <f t="shared" ca="1" si="6"/>
        <v>0.30652719067050604</v>
      </c>
      <c r="O22" s="315">
        <f>1/(1+'[93]Asumsi I'!$C$3)^(KKF!A22)</f>
        <v>0.18269626126419927</v>
      </c>
      <c r="P22" s="316">
        <f t="shared" ca="1" si="7"/>
        <v>5.6001371711319796E-2</v>
      </c>
      <c r="Q22" s="316">
        <f t="shared" ca="1" si="9"/>
        <v>-30.111522122083407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3168</v>
      </c>
      <c r="D23" s="316">
        <f t="shared" si="5"/>
        <v>528</v>
      </c>
      <c r="E23" s="316">
        <f t="shared" si="0"/>
        <v>2640</v>
      </c>
      <c r="F23" s="314"/>
      <c r="G23" s="318">
        <f ca="1">DATA!$D$11/1000000</f>
        <v>0.7584978306900001</v>
      </c>
      <c r="H23" s="318">
        <f>C23*DATA!$D$5/1000000</f>
        <v>3.4345081453686985</v>
      </c>
      <c r="I23" s="318">
        <f>(C23*DATA!$D$5*DATA!$D$7)/1000000</f>
        <v>7.7276433270795711E-2</v>
      </c>
      <c r="J23" s="316">
        <f t="shared" ca="1" si="1"/>
        <v>4.2702824093294938</v>
      </c>
      <c r="K23" s="314"/>
      <c r="L23" s="316">
        <f>((D23*DATA!$D$23)/1000000)+((E23*DATA!$D$24)/1000000)</f>
        <v>4.5768095999999998</v>
      </c>
      <c r="M23" s="316">
        <f t="shared" si="2"/>
        <v>4.5768095999999998</v>
      </c>
      <c r="N23" s="316">
        <f t="shared" ca="1" si="6"/>
        <v>0.30652719067050604</v>
      </c>
      <c r="O23" s="315">
        <f>1/(1+'[93]Asumsi I'!$C$3)^(KKF!A23)</f>
        <v>0.16312166184303503</v>
      </c>
      <c r="P23" s="316">
        <f t="shared" ca="1" si="7"/>
        <v>5.0001224742249807E-2</v>
      </c>
      <c r="Q23" s="316">
        <f t="shared" ca="1" si="9"/>
        <v>-30.061520897341158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3168</v>
      </c>
      <c r="D24" s="316">
        <f t="shared" si="5"/>
        <v>528</v>
      </c>
      <c r="E24" s="316">
        <f t="shared" si="0"/>
        <v>2640</v>
      </c>
      <c r="F24" s="314"/>
      <c r="G24" s="318">
        <f ca="1">DATA!$D$11/1000000</f>
        <v>0.7584978306900001</v>
      </c>
      <c r="H24" s="318">
        <f>C24*DATA!$D$5/1000000</f>
        <v>3.4345081453686985</v>
      </c>
      <c r="I24" s="318">
        <f>(C24*DATA!$D$5*DATA!$D$7)/1000000</f>
        <v>7.7276433270795711E-2</v>
      </c>
      <c r="J24" s="316">
        <f t="shared" ca="1" si="1"/>
        <v>4.2702824093294938</v>
      </c>
      <c r="K24" s="314"/>
      <c r="L24" s="316">
        <f>((D24*DATA!$D$23)/1000000)+((E24*DATA!$D$24)/1000000)</f>
        <v>4.5768095999999998</v>
      </c>
      <c r="M24" s="316">
        <f t="shared" si="2"/>
        <v>4.5768095999999998</v>
      </c>
      <c r="N24" s="316">
        <f t="shared" ca="1" si="6"/>
        <v>0.30652719067050604</v>
      </c>
      <c r="O24" s="315">
        <f>1/(1+'[93]Asumsi I'!$C$3)^(KKF!A24)</f>
        <v>0.14564434093128129</v>
      </c>
      <c r="P24" s="316">
        <f t="shared" ca="1" si="7"/>
        <v>4.4643950662723045E-2</v>
      </c>
      <c r="Q24" s="316">
        <f t="shared" ca="1" si="9"/>
        <v>-30.016876946678433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3168</v>
      </c>
      <c r="D25" s="316">
        <f t="shared" si="5"/>
        <v>528</v>
      </c>
      <c r="E25" s="316">
        <f t="shared" si="0"/>
        <v>2640</v>
      </c>
      <c r="F25" s="314"/>
      <c r="G25" s="318">
        <f ca="1">DATA!$D$11/1000000</f>
        <v>0.7584978306900001</v>
      </c>
      <c r="H25" s="318">
        <f>C25*DATA!$D$5/1000000</f>
        <v>3.4345081453686985</v>
      </c>
      <c r="I25" s="318">
        <f>(C25*DATA!$D$5*DATA!$D$7)/1000000</f>
        <v>7.7276433270795711E-2</v>
      </c>
      <c r="J25" s="316">
        <f t="shared" ca="1" si="1"/>
        <v>4.2702824093294938</v>
      </c>
      <c r="K25" s="314"/>
      <c r="L25" s="316">
        <f>((D25*DATA!$D$23)/1000000)+((E25*DATA!$D$24)/1000000)</f>
        <v>4.5768095999999998</v>
      </c>
      <c r="M25" s="316">
        <f t="shared" si="2"/>
        <v>4.5768095999999998</v>
      </c>
      <c r="N25" s="316">
        <f t="shared" ca="1" si="6"/>
        <v>0.30652719067050604</v>
      </c>
      <c r="O25" s="315">
        <f>1/(1+'[93]Asumsi I'!$C$3)^(KKF!A25)</f>
        <v>0.13003959011721541</v>
      </c>
      <c r="P25" s="316">
        <f t="shared" ca="1" si="7"/>
        <v>3.9860670234574146E-2</v>
      </c>
      <c r="Q25" s="316">
        <f t="shared" ca="1" si="9"/>
        <v>-29.977016276443859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3168</v>
      </c>
      <c r="D26" s="316">
        <f t="shared" si="5"/>
        <v>528</v>
      </c>
      <c r="E26" s="316">
        <f t="shared" si="0"/>
        <v>2640</v>
      </c>
      <c r="F26" s="314"/>
      <c r="G26" s="318">
        <f ca="1">DATA!$D$11/1000000</f>
        <v>0.7584978306900001</v>
      </c>
      <c r="H26" s="318">
        <f>C26*DATA!$D$5/1000000</f>
        <v>3.4345081453686985</v>
      </c>
      <c r="I26" s="318">
        <f>(C26*DATA!$D$5*DATA!$D$7)/1000000</f>
        <v>7.7276433270795711E-2</v>
      </c>
      <c r="J26" s="316">
        <f t="shared" ca="1" si="1"/>
        <v>4.2702824093294938</v>
      </c>
      <c r="K26" s="314"/>
      <c r="L26" s="316">
        <f>((D26*DATA!$D$23)/1000000)+((E26*DATA!$D$24)/1000000)</f>
        <v>4.5768095999999998</v>
      </c>
      <c r="M26" s="316">
        <f t="shared" si="2"/>
        <v>4.5768095999999998</v>
      </c>
      <c r="N26" s="316">
        <f t="shared" ca="1" si="6"/>
        <v>0.30652719067050604</v>
      </c>
      <c r="O26" s="315">
        <f>1/(1+'[93]Asumsi I'!$C$3)^(KKF!A26)</f>
        <v>0.1161067768903709</v>
      </c>
      <c r="P26" s="316">
        <f t="shared" ca="1" si="7"/>
        <v>3.5589884138012624E-2</v>
      </c>
      <c r="Q26" s="316">
        <f t="shared" ca="1" si="9"/>
        <v>-29.941426392305846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3168</v>
      </c>
      <c r="D27" s="316">
        <f t="shared" si="5"/>
        <v>528</v>
      </c>
      <c r="E27" s="316">
        <f t="shared" si="0"/>
        <v>2640</v>
      </c>
      <c r="F27" s="314"/>
      <c r="G27" s="318">
        <f ca="1">DATA!$D$11/1000000</f>
        <v>0.7584978306900001</v>
      </c>
      <c r="H27" s="318">
        <f>C27*DATA!$D$5/1000000</f>
        <v>3.4345081453686985</v>
      </c>
      <c r="I27" s="318">
        <f>(C27*DATA!$D$5*DATA!$D$7)/1000000</f>
        <v>7.7276433270795711E-2</v>
      </c>
      <c r="J27" s="316">
        <f t="shared" ca="1" si="1"/>
        <v>4.2702824093294938</v>
      </c>
      <c r="K27" s="314"/>
      <c r="L27" s="316">
        <f>((D27*DATA!$D$23)/1000000)+((E27*DATA!$D$24)/1000000)</f>
        <v>4.5768095999999998</v>
      </c>
      <c r="M27" s="316">
        <f t="shared" si="2"/>
        <v>4.5768095999999998</v>
      </c>
      <c r="N27" s="316">
        <f t="shared" ca="1" si="6"/>
        <v>0.30652719067050604</v>
      </c>
      <c r="O27" s="315">
        <f>1/(1+'[93]Asumsi I'!$C$3)^(KKF!A27)</f>
        <v>0.1036667650806883</v>
      </c>
      <c r="P27" s="316">
        <f t="shared" ca="1" si="7"/>
        <v>3.1776682266082698E-2</v>
      </c>
      <c r="Q27" s="316">
        <f t="shared" ca="1" si="9"/>
        <v>-29.909649710039762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3168</v>
      </c>
      <c r="D28" s="316">
        <f t="shared" si="5"/>
        <v>528</v>
      </c>
      <c r="E28" s="316">
        <f t="shared" si="0"/>
        <v>2640</v>
      </c>
      <c r="F28" s="314"/>
      <c r="G28" s="318">
        <f ca="1">DATA!$D$11/1000000</f>
        <v>0.7584978306900001</v>
      </c>
      <c r="H28" s="318">
        <f>C28*DATA!$D$5/1000000</f>
        <v>3.4345081453686985</v>
      </c>
      <c r="I28" s="318">
        <f>(C28*DATA!$D$5*DATA!$D$7)/1000000</f>
        <v>7.7276433270795711E-2</v>
      </c>
      <c r="J28" s="316">
        <f t="shared" ca="1" si="1"/>
        <v>4.2702824093294938</v>
      </c>
      <c r="K28" s="314"/>
      <c r="L28" s="316">
        <f>((D28*DATA!$D$23)/1000000)+((E28*DATA!$D$24)/1000000)</f>
        <v>4.5768095999999998</v>
      </c>
      <c r="M28" s="316">
        <f t="shared" si="2"/>
        <v>4.5768095999999998</v>
      </c>
      <c r="N28" s="316">
        <f t="shared" ca="1" si="6"/>
        <v>0.30652719067050604</v>
      </c>
      <c r="O28" s="315">
        <f>1/(1+'[93]Asumsi I'!$C$3)^(KKF!A28)</f>
        <v>9.2559611679185971E-2</v>
      </c>
      <c r="P28" s="316">
        <f t="shared" ca="1" si="7"/>
        <v>2.8372037737573838E-2</v>
      </c>
      <c r="Q28" s="316">
        <f t="shared" ca="1" si="9"/>
        <v>-29.88127767230219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3168</v>
      </c>
      <c r="D29" s="316">
        <f t="shared" si="5"/>
        <v>528</v>
      </c>
      <c r="E29" s="316">
        <f t="shared" si="0"/>
        <v>2640</v>
      </c>
      <c r="F29" s="314"/>
      <c r="G29" s="318">
        <f ca="1">DATA!$D$11/1000000</f>
        <v>0.7584978306900001</v>
      </c>
      <c r="H29" s="318">
        <f>C29*DATA!$D$5/1000000</f>
        <v>3.4345081453686985</v>
      </c>
      <c r="I29" s="318">
        <f>(C29*DATA!$D$5*DATA!$D$7)/1000000</f>
        <v>7.7276433270795711E-2</v>
      </c>
      <c r="J29" s="316">
        <f t="shared" ca="1" si="1"/>
        <v>4.2702824093294938</v>
      </c>
      <c r="K29" s="314"/>
      <c r="L29" s="316">
        <f>((D29*DATA!$D$23)/1000000)+((E29*DATA!$D$24)/1000000)</f>
        <v>4.5768095999999998</v>
      </c>
      <c r="M29" s="316">
        <f t="shared" si="2"/>
        <v>4.5768095999999998</v>
      </c>
      <c r="N29" s="316">
        <f t="shared" ca="1" si="6"/>
        <v>0.30652719067050604</v>
      </c>
      <c r="O29" s="315">
        <f>1/(1+'[93]Asumsi I'!$C$3)^(KKF!A29)</f>
        <v>8.2642510427844609E-2</v>
      </c>
      <c r="P29" s="316">
        <f t="shared" ca="1" si="7"/>
        <v>2.5332176551405208E-2</v>
      </c>
      <c r="Q29" s="316">
        <f t="shared" ca="1" si="9"/>
        <v>-29.855945495750785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3168</v>
      </c>
      <c r="D30" s="316">
        <f t="shared" si="5"/>
        <v>528</v>
      </c>
      <c r="E30" s="316">
        <f t="shared" si="0"/>
        <v>2640</v>
      </c>
      <c r="F30" s="314"/>
      <c r="G30" s="318">
        <f ca="1">DATA!$D$11/1000000</f>
        <v>0.7584978306900001</v>
      </c>
      <c r="H30" s="318">
        <f>C30*DATA!$D$5/1000000</f>
        <v>3.4345081453686985</v>
      </c>
      <c r="I30" s="318">
        <f>(C30*DATA!$D$5*DATA!$D$7)/1000000</f>
        <v>7.7276433270795711E-2</v>
      </c>
      <c r="J30" s="316">
        <f t="shared" ca="1" si="1"/>
        <v>4.2702824093294938</v>
      </c>
      <c r="K30" s="314"/>
      <c r="L30" s="316">
        <f>((D30*DATA!$D$23)/1000000)+((E30*DATA!$D$24)/1000000)</f>
        <v>4.5768095999999998</v>
      </c>
      <c r="M30" s="316">
        <f t="shared" si="2"/>
        <v>4.5768095999999998</v>
      </c>
      <c r="N30" s="316">
        <f t="shared" ca="1" si="6"/>
        <v>0.30652719067050604</v>
      </c>
      <c r="O30" s="315">
        <f>1/(1+'[93]Asumsi I'!$C$3)^(KKF!A30)</f>
        <v>7.3787955739146982E-2</v>
      </c>
      <c r="P30" s="316">
        <f t="shared" ca="1" si="7"/>
        <v>2.2618014778040367E-2</v>
      </c>
      <c r="Q30" s="316">
        <f t="shared" ca="1" si="9"/>
        <v>-29.833327480972745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3168</v>
      </c>
      <c r="D31" s="316">
        <f t="shared" si="5"/>
        <v>528</v>
      </c>
      <c r="E31" s="316">
        <f t="shared" si="0"/>
        <v>2640</v>
      </c>
      <c r="F31" s="314"/>
      <c r="G31" s="318">
        <f ca="1">DATA!$D$11/1000000</f>
        <v>0.7584978306900001</v>
      </c>
      <c r="H31" s="318">
        <f>C31*DATA!$D$5/1000000</f>
        <v>3.4345081453686985</v>
      </c>
      <c r="I31" s="318">
        <f>(C31*DATA!$D$5*DATA!$D$7)/1000000</f>
        <v>7.7276433270795711E-2</v>
      </c>
      <c r="J31" s="316">
        <f t="shared" ca="1" si="1"/>
        <v>4.2702824093294938</v>
      </c>
      <c r="K31" s="314"/>
      <c r="L31" s="316">
        <f>((D31*DATA!$D$23)/1000000)+((E31*DATA!$D$24)/1000000)</f>
        <v>4.5768095999999998</v>
      </c>
      <c r="M31" s="316">
        <f t="shared" si="2"/>
        <v>4.5768095999999998</v>
      </c>
      <c r="N31" s="316">
        <f t="shared" ca="1" si="6"/>
        <v>0.30652719067050604</v>
      </c>
      <c r="O31" s="315">
        <f>1/(1+'[93]Asumsi I'!$C$3)^(KKF!A31)</f>
        <v>6.5882103338524081E-2</v>
      </c>
      <c r="P31" s="316">
        <f t="shared" ca="1" si="7"/>
        <v>2.0194656051821754E-2</v>
      </c>
      <c r="Q31" s="316">
        <f ca="1">Q30+P31</f>
        <v>-29.813132824920924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3168</v>
      </c>
      <c r="D32" s="316">
        <f t="shared" si="5"/>
        <v>528</v>
      </c>
      <c r="E32" s="316">
        <f t="shared" si="0"/>
        <v>2640</v>
      </c>
      <c r="F32" s="314"/>
      <c r="G32" s="318">
        <f ca="1">DATA!$D$11/1000000</f>
        <v>0.7584978306900001</v>
      </c>
      <c r="H32" s="318">
        <f>C32*DATA!$D$5/1000000</f>
        <v>3.4345081453686985</v>
      </c>
      <c r="I32" s="318">
        <f>(C32*DATA!$D$5*DATA!$D$7)/1000000</f>
        <v>7.7276433270795711E-2</v>
      </c>
      <c r="J32" s="316">
        <f t="shared" ca="1" si="1"/>
        <v>4.2702824093294938</v>
      </c>
      <c r="K32" s="314"/>
      <c r="L32" s="316">
        <f>((D32*DATA!$D$23)/1000000)+((E32*DATA!$D$24)/1000000)</f>
        <v>4.5768095999999998</v>
      </c>
      <c r="M32" s="316">
        <f t="shared" si="2"/>
        <v>4.5768095999999998</v>
      </c>
      <c r="N32" s="316">
        <f t="shared" ca="1" si="6"/>
        <v>0.30652719067050604</v>
      </c>
      <c r="O32" s="315">
        <f>1/(1+'[93]Asumsi I'!$C$3)^(KKF!A32)</f>
        <v>5.8823306552253637E-2</v>
      </c>
      <c r="P32" s="316">
        <f t="shared" ca="1" si="7"/>
        <v>1.8030942903412277E-2</v>
      </c>
      <c r="Q32" s="316">
        <f ca="1">Q31+P32</f>
        <v>-29.795101882017512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8" t="s">
        <v>1374</v>
      </c>
      <c r="G33" s="608"/>
      <c r="H33" s="608"/>
      <c r="I33" s="324"/>
      <c r="J33" s="325">
        <f ca="1">SUM(J7:J32)</f>
        <v>145.73309831331403</v>
      </c>
      <c r="K33" s="608" t="s">
        <v>1375</v>
      </c>
      <c r="L33" s="608"/>
      <c r="M33" s="325">
        <f>SUM(M7:M32)</f>
        <v>121.19704080000004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127.15360746568474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0.8316370282572082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-26.602769537515634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-8.9380156906238128E-2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9"/>
  <sheetViews>
    <sheetView showGridLines="0" zoomScale="85" zoomScaleNormal="85" zoomScaleSheetLayoutView="70" workbookViewId="0">
      <pane ySplit="13" topLeftCell="A61" activePane="bottomLeft" state="frozen"/>
      <selection activeCell="H1093" sqref="H1093"/>
      <selection pane="bottomLeft" activeCell="C71" sqref="C7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1" t="s">
        <v>1036</v>
      </c>
      <c r="P3" s="611"/>
      <c r="Q3" s="346"/>
      <c r="T3" s="344"/>
      <c r="U3" s="345" t="s">
        <v>1041</v>
      </c>
      <c r="V3" s="344"/>
    </row>
    <row r="4" spans="1:22" ht="15.75" customHeight="1">
      <c r="B4" s="612" t="s">
        <v>1023</v>
      </c>
      <c r="C4" s="612"/>
      <c r="D4" s="612"/>
      <c r="E4" s="612"/>
      <c r="F4" s="612"/>
      <c r="G4" s="612"/>
      <c r="H4" s="612"/>
      <c r="I4" s="612"/>
      <c r="J4" s="612"/>
      <c r="K4" s="612"/>
      <c r="O4" s="611"/>
      <c r="P4" s="61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8" t="str">
        <f>DATA!D14</f>
        <v>NUR WACHID AHMAD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4" t="s">
        <v>0</v>
      </c>
      <c r="C11" s="616" t="s">
        <v>1</v>
      </c>
      <c r="D11" s="619" t="s">
        <v>42</v>
      </c>
      <c r="E11" s="619" t="s">
        <v>43</v>
      </c>
      <c r="F11" s="619" t="s">
        <v>2</v>
      </c>
      <c r="G11" s="621" t="s">
        <v>41</v>
      </c>
      <c r="H11" s="619" t="s">
        <v>3</v>
      </c>
      <c r="I11" s="619"/>
      <c r="J11" s="619"/>
      <c r="K11" s="63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5"/>
      <c r="C12" s="617"/>
      <c r="D12" s="620"/>
      <c r="E12" s="620"/>
      <c r="F12" s="620"/>
      <c r="G12" s="622"/>
      <c r="H12" s="624" t="s">
        <v>46</v>
      </c>
      <c r="I12" s="624" t="s">
        <v>5</v>
      </c>
      <c r="J12" s="620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5"/>
      <c r="C13" s="618"/>
      <c r="D13" s="620"/>
      <c r="E13" s="620"/>
      <c r="F13" s="620"/>
      <c r="G13" s="623"/>
      <c r="H13" s="625"/>
      <c r="I13" s="625"/>
      <c r="J13" s="620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ca="1" si="4"/>
        <v>0</v>
      </c>
      <c r="I17" s="361">
        <f t="shared" ca="1" si="5"/>
        <v>10147800</v>
      </c>
      <c r="J17" s="361">
        <f t="shared" ca="1" si="6"/>
        <v>0</v>
      </c>
      <c r="K17" s="362">
        <f t="shared" ca="1" si="7"/>
        <v>10147800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372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1" ca="1" si="8">IF(OR(D18="MDU",D18="MDU-KD"),(IF($O$3="RAB NON MDU","PLN KD",G18*F18)),0)</f>
        <v>0</v>
      </c>
      <c r="I18" s="361">
        <f t="shared" ref="I18:I21" ca="1" si="9">IF(D18="HDW",G18*F18,0)</f>
        <v>0</v>
      </c>
      <c r="J18" s="361">
        <f t="shared" ref="J18:J21" ca="1" si="10">IF(D18="JASA",G18*F18,0)</f>
        <v>30200.000000000004</v>
      </c>
      <c r="K18" s="362">
        <f t="shared" ref="K18:K21" ca="1" si="11">SUM(H18:J18)</f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372"/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1607</v>
      </c>
      <c r="C20" s="367" t="s">
        <v>1614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7"/>
      <c r="C21" s="498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42"/>
      <c r="M21" s="342"/>
      <c r="N21" s="369"/>
      <c r="O21" s="344"/>
      <c r="P21" s="396"/>
      <c r="Q21" s="344"/>
    </row>
    <row r="22" spans="1:22" s="365" customFormat="1">
      <c r="A22" s="336"/>
      <c r="B22" s="494" t="s">
        <v>1608</v>
      </c>
      <c r="C22" s="499" t="s">
        <v>1613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46" ca="1" si="12">IF(OR(D22="MDU",D22="MDU-KD"),(IF($O$3="RAB NON MDU","PLN KD",G22*F22)),0)</f>
        <v>0</v>
      </c>
      <c r="I22" s="361">
        <f t="shared" ref="I22:I46" ca="1" si="13">IF(D22="HDW",G22*F22,0)</f>
        <v>0</v>
      </c>
      <c r="J22" s="361">
        <f t="shared" ref="J22:J46" ca="1" si="14">IF(D22="JASA",G22*F22,0)</f>
        <v>0</v>
      </c>
      <c r="K22" s="362">
        <f t="shared" ref="K22:K46" ca="1" si="15">SUM(H22:J22)</f>
        <v>0</v>
      </c>
      <c r="L22" s="342"/>
      <c r="M22" s="342"/>
      <c r="N22" s="369"/>
      <c r="O22" s="344"/>
      <c r="P22" s="396"/>
      <c r="Q22" s="344"/>
    </row>
    <row r="23" spans="1:22" s="365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0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96"/>
      <c r="Q23" s="344"/>
    </row>
    <row r="24" spans="1:22" s="365" customFormat="1">
      <c r="A24" s="336"/>
      <c r="B24" s="497" t="s">
        <v>1035</v>
      </c>
      <c r="C24" s="498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0">
        <v>4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42"/>
      <c r="M24" s="342"/>
      <c r="N24" s="369"/>
      <c r="O24" s="344"/>
      <c r="P24" s="396"/>
      <c r="Q24" s="344"/>
    </row>
    <row r="25" spans="1:22" s="365" customFormat="1">
      <c r="A25" s="336"/>
      <c r="B25" s="497">
        <v>1</v>
      </c>
      <c r="C25" s="498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0">
        <f>F24*1</f>
        <v>4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12"/>
        <v>0</v>
      </c>
      <c r="I25" s="361">
        <f t="shared" ca="1" si="13"/>
        <v>16848</v>
      </c>
      <c r="J25" s="361">
        <f t="shared" ca="1" si="14"/>
        <v>0</v>
      </c>
      <c r="K25" s="362">
        <f t="shared" ca="1" si="15"/>
        <v>16848</v>
      </c>
      <c r="L25" s="342"/>
      <c r="M25" s="342"/>
      <c r="N25" s="369"/>
      <c r="O25" s="344"/>
      <c r="P25" s="396"/>
      <c r="Q25" s="344"/>
    </row>
    <row r="26" spans="1:22" s="365" customFormat="1">
      <c r="A26" s="336"/>
      <c r="B26" s="497">
        <v>2</v>
      </c>
      <c r="C26" s="498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0">
        <f>F24*1</f>
        <v>4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12"/>
        <v>0</v>
      </c>
      <c r="I26" s="361">
        <f t="shared" ca="1" si="13"/>
        <v>93240</v>
      </c>
      <c r="J26" s="361">
        <f t="shared" ca="1" si="14"/>
        <v>0</v>
      </c>
      <c r="K26" s="362">
        <f t="shared" ca="1" si="15"/>
        <v>93240</v>
      </c>
      <c r="L26" s="342"/>
      <c r="M26" s="342"/>
      <c r="N26" s="369"/>
      <c r="O26" s="344"/>
      <c r="P26" s="396"/>
      <c r="Q26" s="344"/>
    </row>
    <row r="27" spans="1:22" s="365" customFormat="1">
      <c r="A27" s="336"/>
      <c r="B27" s="497">
        <v>3</v>
      </c>
      <c r="C27" s="498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0">
        <f>F24*1</f>
        <v>4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12"/>
        <v>0</v>
      </c>
      <c r="I27" s="361">
        <f t="shared" ca="1" si="13"/>
        <v>9200</v>
      </c>
      <c r="J27" s="361">
        <f t="shared" ca="1" si="14"/>
        <v>0</v>
      </c>
      <c r="K27" s="362">
        <f t="shared" ca="1" si="15"/>
        <v>9200</v>
      </c>
      <c r="L27" s="342"/>
      <c r="M27" s="342"/>
      <c r="N27" s="369"/>
      <c r="O27" s="344"/>
      <c r="P27" s="396"/>
      <c r="Q27" s="344"/>
    </row>
    <row r="28" spans="1:22" s="365" customFormat="1">
      <c r="A28" s="336"/>
      <c r="B28" s="497">
        <v>4</v>
      </c>
      <c r="C28" s="498" t="s">
        <v>609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0">
        <f>F24*1</f>
        <v>4</v>
      </c>
      <c r="G28" s="360">
        <f ca="1">IF(ISERROR(OFFSET('HARGA SATUAN'!$I$6,MATCH(RAB!C28,'HARGA SATUAN'!$C$7:$C$1492,0),0)),0,OFFSET('HARGA SATUAN'!$I$6,MATCH(RAB!C28,'HARGA SATUAN'!$C$7:$C$1492,0),0))</f>
        <v>71000</v>
      </c>
      <c r="H28" s="361">
        <f t="shared" ca="1" si="12"/>
        <v>0</v>
      </c>
      <c r="I28" s="361">
        <f t="shared" ca="1" si="13"/>
        <v>284000</v>
      </c>
      <c r="J28" s="361">
        <f t="shared" ca="1" si="14"/>
        <v>0</v>
      </c>
      <c r="K28" s="362">
        <f t="shared" ca="1" si="15"/>
        <v>284000</v>
      </c>
      <c r="L28" s="342"/>
      <c r="M28" s="342"/>
      <c r="N28" s="369"/>
      <c r="O28" s="344"/>
      <c r="P28" s="396"/>
      <c r="Q28" s="344"/>
    </row>
    <row r="29" spans="1:22" s="365" customFormat="1">
      <c r="A29" s="336"/>
      <c r="B29" s="497">
        <v>5</v>
      </c>
      <c r="C29" s="498" t="s">
        <v>629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0">
        <f>F24*1</f>
        <v>4</v>
      </c>
      <c r="G29" s="360">
        <f ca="1">IF(ISERROR(OFFSET('HARGA SATUAN'!$I$6,MATCH(RAB!C29,'HARGA SATUAN'!$C$7:$C$1492,0),0)),0,OFFSET('HARGA SATUAN'!$I$6,MATCH(RAB!C29,'HARGA SATUAN'!$C$7:$C$1492,0),0))</f>
        <v>29400</v>
      </c>
      <c r="H29" s="361">
        <f t="shared" ca="1" si="12"/>
        <v>0</v>
      </c>
      <c r="I29" s="361">
        <f t="shared" ca="1" si="13"/>
        <v>0</v>
      </c>
      <c r="J29" s="361">
        <f t="shared" ca="1" si="14"/>
        <v>117600</v>
      </c>
      <c r="K29" s="362">
        <f t="shared" ca="1" si="15"/>
        <v>117600</v>
      </c>
      <c r="L29" s="342"/>
      <c r="M29" s="342"/>
      <c r="N29" s="369"/>
      <c r="O29" s="344"/>
      <c r="P29" s="396"/>
      <c r="Q29" s="344"/>
    </row>
    <row r="30" spans="1:22" s="365" customFormat="1">
      <c r="A30" s="336"/>
      <c r="B30" s="497"/>
      <c r="C30" s="498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0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  <c r="L30" s="342"/>
      <c r="M30" s="342"/>
      <c r="N30" s="369"/>
      <c r="O30" s="344"/>
      <c r="P30" s="396"/>
      <c r="Q30" s="344"/>
    </row>
    <row r="31" spans="1:22" s="365" customFormat="1">
      <c r="A31" s="336"/>
      <c r="B31" s="497" t="s">
        <v>1035</v>
      </c>
      <c r="C31" s="498" t="s">
        <v>1616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0">
        <v>4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  <c r="L31" s="342"/>
      <c r="M31" s="342"/>
      <c r="N31" s="369"/>
      <c r="O31" s="344"/>
      <c r="P31" s="396"/>
      <c r="Q31" s="344"/>
    </row>
    <row r="32" spans="1:22" s="365" customFormat="1">
      <c r="A32" s="336"/>
      <c r="B32" s="497">
        <v>1</v>
      </c>
      <c r="C32" s="498" t="s">
        <v>595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0">
        <f>F31*1</f>
        <v>4</v>
      </c>
      <c r="G32" s="360">
        <f ca="1">IF(ISERROR(OFFSET('HARGA SATUAN'!$I$6,MATCH(RAB!C32,'HARGA SATUAN'!$C$7:$C$1492,0),0)),0,OFFSET('HARGA SATUAN'!$I$6,MATCH(RAB!C32,'HARGA SATUAN'!$C$7:$C$1492,0),0))</f>
        <v>78500</v>
      </c>
      <c r="H32" s="361">
        <f t="shared" ca="1" si="12"/>
        <v>0</v>
      </c>
      <c r="I32" s="361">
        <f t="shared" ca="1" si="13"/>
        <v>314000</v>
      </c>
      <c r="J32" s="361">
        <f t="shared" ca="1" si="14"/>
        <v>0</v>
      </c>
      <c r="K32" s="362">
        <f t="shared" ca="1" si="15"/>
        <v>314000</v>
      </c>
      <c r="L32" s="342"/>
      <c r="M32" s="342"/>
      <c r="N32" s="369"/>
      <c r="O32" s="344"/>
      <c r="P32" s="396"/>
      <c r="Q32" s="344"/>
    </row>
    <row r="33" spans="1:17" s="365" customFormat="1">
      <c r="A33" s="336"/>
      <c r="B33" s="497">
        <v>2</v>
      </c>
      <c r="C33" s="498" t="s">
        <v>229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0">
        <f>F31*1</f>
        <v>4</v>
      </c>
      <c r="G33" s="360">
        <f ca="1">IF(ISERROR(OFFSET('HARGA SATUAN'!$I$6,MATCH(RAB!C33,'HARGA SATUAN'!$C$7:$C$1492,0),0)),0,OFFSET('HARGA SATUAN'!$I$6,MATCH(RAB!C33,'HARGA SATUAN'!$C$7:$C$1492,0),0))</f>
        <v>4212</v>
      </c>
      <c r="H33" s="361">
        <f t="shared" ca="1" si="12"/>
        <v>0</v>
      </c>
      <c r="I33" s="361">
        <f t="shared" ca="1" si="13"/>
        <v>16848</v>
      </c>
      <c r="J33" s="361">
        <f t="shared" ca="1" si="14"/>
        <v>0</v>
      </c>
      <c r="K33" s="362">
        <f t="shared" ca="1" si="15"/>
        <v>16848</v>
      </c>
      <c r="L33" s="342"/>
      <c r="M33" s="342"/>
      <c r="N33" s="369"/>
      <c r="O33" s="344"/>
      <c r="P33" s="396"/>
      <c r="Q33" s="344"/>
    </row>
    <row r="34" spans="1:17" s="365" customFormat="1">
      <c r="A34" s="336"/>
      <c r="B34" s="497">
        <v>3</v>
      </c>
      <c r="C34" s="498" t="s">
        <v>266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500">
        <f>F31*1</f>
        <v>4</v>
      </c>
      <c r="G34" s="360">
        <f ca="1">IF(ISERROR(OFFSET('HARGA SATUAN'!$I$6,MATCH(RAB!C34,'HARGA SATUAN'!$C$7:$C$1492,0),0)),0,OFFSET('HARGA SATUAN'!$I$6,MATCH(RAB!C34,'HARGA SATUAN'!$C$7:$C$1492,0),0))</f>
        <v>23310</v>
      </c>
      <c r="H34" s="361">
        <f t="shared" ca="1" si="12"/>
        <v>0</v>
      </c>
      <c r="I34" s="361">
        <f t="shared" ca="1" si="13"/>
        <v>93240</v>
      </c>
      <c r="J34" s="361">
        <f t="shared" ca="1" si="14"/>
        <v>0</v>
      </c>
      <c r="K34" s="362">
        <f t="shared" ca="1" si="15"/>
        <v>93240</v>
      </c>
      <c r="L34" s="342"/>
      <c r="M34" s="342"/>
      <c r="N34" s="369"/>
      <c r="O34" s="344"/>
      <c r="P34" s="396"/>
      <c r="Q34" s="344"/>
    </row>
    <row r="35" spans="1:17" s="365" customFormat="1">
      <c r="A35" s="336"/>
      <c r="B35" s="497">
        <v>4</v>
      </c>
      <c r="C35" s="498" t="s">
        <v>35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0">
        <f>F31*1</f>
        <v>4</v>
      </c>
      <c r="G35" s="360">
        <f ca="1">IF(ISERROR(OFFSET('HARGA SATUAN'!$I$6,MATCH(RAB!C35,'HARGA SATUAN'!$C$7:$C$1492,0),0)),0,OFFSET('HARGA SATUAN'!$I$6,MATCH(RAB!C35,'HARGA SATUAN'!$C$7:$C$1492,0),0))</f>
        <v>2300</v>
      </c>
      <c r="H35" s="361">
        <f t="shared" ca="1" si="12"/>
        <v>0</v>
      </c>
      <c r="I35" s="361">
        <f t="shared" ca="1" si="13"/>
        <v>9200</v>
      </c>
      <c r="J35" s="361">
        <f t="shared" ca="1" si="14"/>
        <v>0</v>
      </c>
      <c r="K35" s="362">
        <f t="shared" ca="1" si="15"/>
        <v>9200</v>
      </c>
      <c r="L35" s="342"/>
      <c r="M35" s="342"/>
      <c r="N35" s="369"/>
      <c r="O35" s="344"/>
      <c r="P35" s="396"/>
      <c r="Q35" s="344"/>
    </row>
    <row r="36" spans="1:17" s="365" customFormat="1">
      <c r="A36" s="336"/>
      <c r="B36" s="497">
        <v>5</v>
      </c>
      <c r="C36" s="498" t="s">
        <v>630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0">
        <f>F31*1</f>
        <v>4</v>
      </c>
      <c r="G36" s="360">
        <f ca="1">IF(ISERROR(OFFSET('HARGA SATUAN'!$I$6,MATCH(RAB!C36,'HARGA SATUAN'!$C$7:$C$1492,0),0)),0,OFFSET('HARGA SATUAN'!$I$6,MATCH(RAB!C36,'HARGA SATUAN'!$C$7:$C$1492,0),0))</f>
        <v>35700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142800</v>
      </c>
      <c r="K36" s="362">
        <f t="shared" ca="1" si="15"/>
        <v>142800</v>
      </c>
      <c r="L36" s="342"/>
      <c r="M36" s="342"/>
      <c r="N36" s="369"/>
      <c r="O36" s="344"/>
      <c r="P36" s="396"/>
      <c r="Q36" s="344"/>
    </row>
    <row r="37" spans="1:17" s="365" customFormat="1">
      <c r="A37" s="336"/>
      <c r="B37" s="497"/>
      <c r="C37" s="498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0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2"/>
        <v>0</v>
      </c>
      <c r="I37" s="361">
        <f t="shared" ca="1" si="13"/>
        <v>0</v>
      </c>
      <c r="J37" s="361">
        <f t="shared" ca="1" si="14"/>
        <v>0</v>
      </c>
      <c r="K37" s="362">
        <f t="shared" ca="1" si="15"/>
        <v>0</v>
      </c>
      <c r="L37" s="342"/>
      <c r="M37" s="342"/>
      <c r="N37" s="369"/>
      <c r="O37" s="344"/>
      <c r="P37" s="396"/>
      <c r="Q37" s="344"/>
    </row>
    <row r="38" spans="1:17" s="365" customFormat="1">
      <c r="A38" s="336"/>
      <c r="B38" s="497">
        <v>1</v>
      </c>
      <c r="C38" s="498" t="s">
        <v>1459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0">
        <v>250</v>
      </c>
      <c r="G38" s="360">
        <f ca="1">IF(ISERROR(OFFSET('HARGA SATUAN'!$I$6,MATCH(RAB!C38,'HARGA SATUAN'!$C$7:$C$1492,0),0)),0,OFFSET('HARGA SATUAN'!$I$6,MATCH(RAB!C38,'HARGA SATUAN'!$C$7:$C$1492,0),0))</f>
        <v>54500</v>
      </c>
      <c r="H38" s="361">
        <f t="shared" ca="1" si="12"/>
        <v>13625000</v>
      </c>
      <c r="I38" s="361">
        <f t="shared" ca="1" si="13"/>
        <v>0</v>
      </c>
      <c r="J38" s="361">
        <f t="shared" ca="1" si="14"/>
        <v>0</v>
      </c>
      <c r="K38" s="362">
        <f t="shared" ca="1" si="15"/>
        <v>13625000</v>
      </c>
      <c r="L38" s="342"/>
      <c r="M38" s="342"/>
      <c r="N38" s="369"/>
      <c r="O38" s="344"/>
      <c r="P38" s="396"/>
      <c r="Q38" s="344"/>
    </row>
    <row r="39" spans="1:17" s="365" customFormat="1">
      <c r="A39" s="336"/>
      <c r="B39" s="497">
        <v>2</v>
      </c>
      <c r="C39" s="498" t="s">
        <v>346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Per 50 m</v>
      </c>
      <c r="F39" s="500">
        <f>F38/50</f>
        <v>5</v>
      </c>
      <c r="G39" s="360">
        <f ca="1">IF(ISERROR(OFFSET('HARGA SATUAN'!$I$6,MATCH(RAB!C39,'HARGA SATUAN'!$C$7:$C$1492,0),0)),0,OFFSET('HARGA SATUAN'!$I$6,MATCH(RAB!C39,'HARGA SATUAN'!$C$7:$C$1492,0),0))</f>
        <v>223500</v>
      </c>
      <c r="H39" s="361">
        <f t="shared" ca="1" si="12"/>
        <v>0</v>
      </c>
      <c r="I39" s="361">
        <f t="shared" ca="1" si="13"/>
        <v>0</v>
      </c>
      <c r="J39" s="361">
        <f t="shared" ca="1" si="14"/>
        <v>1117500</v>
      </c>
      <c r="K39" s="362">
        <f t="shared" ca="1" si="15"/>
        <v>1117500</v>
      </c>
      <c r="L39" s="342"/>
      <c r="M39" s="342"/>
      <c r="N39" s="369"/>
      <c r="O39" s="344"/>
      <c r="P39" s="396"/>
      <c r="Q39" s="344"/>
    </row>
    <row r="40" spans="1:17" s="365" customFormat="1">
      <c r="A40" s="336"/>
      <c r="B40" s="497"/>
      <c r="C40" s="498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0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  <c r="L40" s="342"/>
      <c r="M40" s="342"/>
      <c r="N40" s="369"/>
      <c r="O40" s="344"/>
      <c r="P40" s="396"/>
      <c r="Q40" s="344"/>
    </row>
    <row r="41" spans="1:17" s="365" customFormat="1">
      <c r="A41" s="336"/>
      <c r="B41" s="505" t="s">
        <v>1035</v>
      </c>
      <c r="C41" s="506" t="s">
        <v>1617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0">
        <v>1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  <c r="L41" s="342"/>
      <c r="M41" s="342"/>
      <c r="N41" s="369"/>
      <c r="O41" s="344"/>
      <c r="P41" s="396"/>
      <c r="Q41" s="344"/>
    </row>
    <row r="42" spans="1:17" s="365" customFormat="1">
      <c r="A42" s="336"/>
      <c r="B42" s="505">
        <v>1</v>
      </c>
      <c r="C42" s="506" t="s">
        <v>28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0">
        <f>F41*1</f>
        <v>1</v>
      </c>
      <c r="G42" s="360">
        <f ca="1">IF(ISERROR(OFFSET('HARGA SATUAN'!$I$6,MATCH(RAB!C42,'HARGA SATUAN'!$C$7:$C$1492,0),0)),0,OFFSET('HARGA SATUAN'!$I$6,MATCH(RAB!C42,'HARGA SATUAN'!$C$7:$C$1492,0),0))</f>
        <v>26500</v>
      </c>
      <c r="H42" s="361">
        <f t="shared" ca="1" si="12"/>
        <v>0</v>
      </c>
      <c r="I42" s="361">
        <f t="shared" ca="1" si="13"/>
        <v>26500</v>
      </c>
      <c r="J42" s="361">
        <f t="shared" ca="1" si="14"/>
        <v>0</v>
      </c>
      <c r="K42" s="362">
        <f t="shared" ca="1" si="15"/>
        <v>26500</v>
      </c>
      <c r="L42" s="342"/>
      <c r="M42" s="342"/>
      <c r="N42" s="369"/>
      <c r="O42" s="344"/>
      <c r="P42" s="396"/>
      <c r="Q42" s="344"/>
    </row>
    <row r="43" spans="1:17" s="365" customFormat="1">
      <c r="A43" s="336"/>
      <c r="B43" s="505">
        <v>2</v>
      </c>
      <c r="C43" s="506" t="s">
        <v>203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0">
        <f>F41*1</f>
        <v>1</v>
      </c>
      <c r="G43" s="360">
        <f ca="1">IF(ISERROR(OFFSET('HARGA SATUAN'!$I$6,MATCH(RAB!C43,'HARGA SATUAN'!$C$7:$C$1492,0),0)),0,OFFSET('HARGA SATUAN'!$I$6,MATCH(RAB!C43,'HARGA SATUAN'!$C$7:$C$1492,0),0))</f>
        <v>12500</v>
      </c>
      <c r="H43" s="361">
        <f t="shared" ca="1" si="12"/>
        <v>0</v>
      </c>
      <c r="I43" s="361">
        <f t="shared" ca="1" si="13"/>
        <v>12500</v>
      </c>
      <c r="J43" s="361">
        <f t="shared" ca="1" si="14"/>
        <v>0</v>
      </c>
      <c r="K43" s="362">
        <f t="shared" ca="1" si="15"/>
        <v>12500</v>
      </c>
      <c r="L43" s="342"/>
      <c r="M43" s="342"/>
      <c r="N43" s="369"/>
      <c r="O43" s="344"/>
      <c r="P43" s="396"/>
      <c r="Q43" s="344"/>
    </row>
    <row r="44" spans="1:17" s="365" customFormat="1">
      <c r="A44" s="336"/>
      <c r="B44" s="505">
        <v>3</v>
      </c>
      <c r="C44" s="506" t="s">
        <v>206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0">
        <f>F41*12</f>
        <v>12</v>
      </c>
      <c r="G44" s="360">
        <f ca="1">IF(ISERROR(OFFSET('HARGA SATUAN'!$I$6,MATCH(RAB!C44,'HARGA SATUAN'!$C$7:$C$1492,0),0)),0,OFFSET('HARGA SATUAN'!$I$6,MATCH(RAB!C44,'HARGA SATUAN'!$C$7:$C$1492,0),0))</f>
        <v>39204</v>
      </c>
      <c r="H44" s="361">
        <f t="shared" ca="1" si="12"/>
        <v>0</v>
      </c>
      <c r="I44" s="361">
        <f t="shared" ca="1" si="13"/>
        <v>470448</v>
      </c>
      <c r="J44" s="361">
        <f t="shared" ca="1" si="14"/>
        <v>0</v>
      </c>
      <c r="K44" s="362">
        <f t="shared" ca="1" si="15"/>
        <v>470448</v>
      </c>
      <c r="L44" s="342"/>
      <c r="M44" s="342"/>
      <c r="N44" s="369"/>
      <c r="O44" s="344"/>
      <c r="P44" s="396"/>
      <c r="Q44" s="344"/>
    </row>
    <row r="45" spans="1:17" s="365" customFormat="1">
      <c r="A45" s="336"/>
      <c r="B45" s="505">
        <v>4</v>
      </c>
      <c r="C45" s="506" t="s">
        <v>287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0">
        <f>F41*2</f>
        <v>2</v>
      </c>
      <c r="G45" s="360">
        <f ca="1">IF(ISERROR(OFFSET('HARGA SATUAN'!$I$6,MATCH(RAB!C45,'HARGA SATUAN'!$C$7:$C$1492,0),0)),0,OFFSET('HARGA SATUAN'!$I$6,MATCH(RAB!C45,'HARGA SATUAN'!$C$7:$C$1492,0),0))</f>
        <v>40000</v>
      </c>
      <c r="H45" s="361">
        <f t="shared" ca="1" si="12"/>
        <v>0</v>
      </c>
      <c r="I45" s="361">
        <f t="shared" ca="1" si="13"/>
        <v>80000</v>
      </c>
      <c r="J45" s="361">
        <f t="shared" ca="1" si="14"/>
        <v>0</v>
      </c>
      <c r="K45" s="362">
        <f t="shared" ca="1" si="15"/>
        <v>80000</v>
      </c>
      <c r="L45" s="342"/>
      <c r="M45" s="342"/>
      <c r="N45" s="369"/>
      <c r="O45" s="344"/>
      <c r="P45" s="396"/>
      <c r="Q45" s="344"/>
    </row>
    <row r="46" spans="1:17" s="365" customFormat="1">
      <c r="A46" s="336"/>
      <c r="B46" s="505">
        <v>5</v>
      </c>
      <c r="C46" s="506" t="s">
        <v>26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0">
        <f>F41*1</f>
        <v>1</v>
      </c>
      <c r="G46" s="360">
        <f ca="1">IF(ISERROR(OFFSET('HARGA SATUAN'!$I$6,MATCH(RAB!C46,'HARGA SATUAN'!$C$7:$C$1492,0),0)),0,OFFSET('HARGA SATUAN'!$I$6,MATCH(RAB!C46,'HARGA SATUAN'!$C$7:$C$1492,0),0))</f>
        <v>2500</v>
      </c>
      <c r="H46" s="361">
        <f t="shared" ca="1" si="12"/>
        <v>0</v>
      </c>
      <c r="I46" s="361">
        <f t="shared" ca="1" si="13"/>
        <v>2500</v>
      </c>
      <c r="J46" s="361">
        <f t="shared" ca="1" si="14"/>
        <v>0</v>
      </c>
      <c r="K46" s="362">
        <f t="shared" ca="1" si="15"/>
        <v>2500</v>
      </c>
      <c r="L46" s="342"/>
      <c r="M46" s="342"/>
      <c r="N46" s="369"/>
      <c r="O46" s="344"/>
      <c r="P46" s="396"/>
      <c r="Q46" s="344"/>
    </row>
    <row r="47" spans="1:17" s="365" customFormat="1">
      <c r="A47" s="336"/>
      <c r="B47" s="505">
        <v>6</v>
      </c>
      <c r="C47" s="506" t="s">
        <v>760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0">
        <f>F41*1</f>
        <v>1</v>
      </c>
      <c r="G47" s="360">
        <f ca="1">IF(ISERROR(OFFSET('HARGA SATUAN'!$I$6,MATCH(RAB!C47,'HARGA SATUAN'!$C$7:$C$1492,0),0)),0,OFFSET('HARGA SATUAN'!$I$6,MATCH(RAB!C47,'HARGA SATUAN'!$C$7:$C$1492,0),0))</f>
        <v>36600</v>
      </c>
      <c r="H47" s="361">
        <f t="shared" ref="H47:H55" ca="1" si="16">IF(OR(D47="MDU",D47="MDU-KD"),(IF($O$3="RAB NON MDU","PLN KD",G47*F47)),0)</f>
        <v>0</v>
      </c>
      <c r="I47" s="361">
        <f t="shared" ref="I47:I55" ca="1" si="17">IF(D47="HDW",G47*F47,0)</f>
        <v>0</v>
      </c>
      <c r="J47" s="361">
        <f t="shared" ref="J47:J55" ca="1" si="18">IF(D47="JASA",G47*F47,0)</f>
        <v>36600</v>
      </c>
      <c r="K47" s="362">
        <f t="shared" ref="K47:K55" ca="1" si="19">SUM(H47:J47)</f>
        <v>36600</v>
      </c>
      <c r="L47" s="342"/>
      <c r="M47" s="342"/>
      <c r="N47" s="369"/>
      <c r="O47" s="344"/>
      <c r="P47" s="396"/>
      <c r="Q47" s="344"/>
    </row>
    <row r="48" spans="1:17" s="365" customFormat="1">
      <c r="A48" s="336"/>
      <c r="B48" s="497"/>
      <c r="C48" s="498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0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  <c r="L48" s="342"/>
      <c r="M48" s="342"/>
      <c r="N48" s="369"/>
      <c r="O48" s="344"/>
      <c r="P48" s="396"/>
      <c r="Q48" s="344"/>
    </row>
    <row r="49" spans="1:17" s="365" customFormat="1">
      <c r="A49" s="336"/>
      <c r="B49" s="505" t="s">
        <v>1035</v>
      </c>
      <c r="C49" s="506" t="s">
        <v>1618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0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6"/>
        <v>0</v>
      </c>
      <c r="I49" s="361">
        <f t="shared" ca="1" si="17"/>
        <v>0</v>
      </c>
      <c r="J49" s="361">
        <f t="shared" ca="1" si="18"/>
        <v>0</v>
      </c>
      <c r="K49" s="362">
        <f t="shared" ca="1" si="19"/>
        <v>0</v>
      </c>
      <c r="L49" s="342"/>
      <c r="M49" s="342"/>
      <c r="N49" s="369"/>
      <c r="O49" s="344"/>
      <c r="P49" s="396"/>
      <c r="Q49" s="344"/>
    </row>
    <row r="50" spans="1:17" s="365" customFormat="1">
      <c r="A50" s="336"/>
      <c r="B50" s="507">
        <v>1</v>
      </c>
      <c r="C50" s="508" t="s">
        <v>597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0">
        <f>F49*1</f>
        <v>1</v>
      </c>
      <c r="G50" s="360">
        <f ca="1">IF(ISERROR(OFFSET('HARGA SATUAN'!$I$6,MATCH(RAB!C50,'HARGA SATUAN'!$C$7:$C$1492,0),0)),0,OFFSET('HARGA SATUAN'!$I$6,MATCH(RAB!C50,'HARGA SATUAN'!$C$7:$C$1492,0),0))</f>
        <v>120900</v>
      </c>
      <c r="H50" s="361">
        <f t="shared" ca="1" si="16"/>
        <v>0</v>
      </c>
      <c r="I50" s="361">
        <f t="shared" ca="1" si="17"/>
        <v>120900</v>
      </c>
      <c r="J50" s="361">
        <f t="shared" ca="1" si="18"/>
        <v>0</v>
      </c>
      <c r="K50" s="362">
        <f t="shared" ca="1" si="19"/>
        <v>120900</v>
      </c>
      <c r="L50" s="342"/>
      <c r="M50" s="342"/>
      <c r="N50" s="369"/>
      <c r="O50" s="344"/>
      <c r="P50" s="396"/>
      <c r="Q50" s="344"/>
    </row>
    <row r="51" spans="1:17" s="365" customFormat="1">
      <c r="A51" s="336"/>
      <c r="B51" s="501">
        <v>2</v>
      </c>
      <c r="C51" s="502" t="s">
        <v>261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0">
        <f>F49*1</f>
        <v>1</v>
      </c>
      <c r="G51" s="360">
        <f ca="1">IF(ISERROR(OFFSET('HARGA SATUAN'!$I$6,MATCH(RAB!C51,'HARGA SATUAN'!$C$7:$C$1492,0),0)),0,OFFSET('HARGA SATUAN'!$I$6,MATCH(RAB!C51,'HARGA SATUAN'!$C$7:$C$1492,0),0))</f>
        <v>135800</v>
      </c>
      <c r="H51" s="361">
        <f t="shared" ca="1" si="16"/>
        <v>0</v>
      </c>
      <c r="I51" s="361">
        <f t="shared" ca="1" si="17"/>
        <v>135800</v>
      </c>
      <c r="J51" s="361">
        <f t="shared" ca="1" si="18"/>
        <v>0</v>
      </c>
      <c r="K51" s="362">
        <f t="shared" ca="1" si="19"/>
        <v>135800</v>
      </c>
      <c r="L51" s="342"/>
      <c r="M51" s="342"/>
      <c r="N51" s="369"/>
      <c r="O51" s="344"/>
      <c r="P51" s="396"/>
      <c r="Q51" s="344"/>
    </row>
    <row r="52" spans="1:17" s="365" customFormat="1">
      <c r="A52" s="336"/>
      <c r="B52" s="501">
        <v>3</v>
      </c>
      <c r="C52" s="503" t="s">
        <v>214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9">
        <f>F49*1</f>
        <v>1</v>
      </c>
      <c r="G52" s="360">
        <f ca="1">IF(ISERROR(OFFSET('HARGA SATUAN'!$I$6,MATCH(RAB!C52,'HARGA SATUAN'!$C$7:$C$1492,0),0)),0,OFFSET('HARGA SATUAN'!$I$6,MATCH(RAB!C52,'HARGA SATUAN'!$C$7:$C$1492,0),0))</f>
        <v>4500</v>
      </c>
      <c r="H52" s="361">
        <f t="shared" ca="1" si="16"/>
        <v>0</v>
      </c>
      <c r="I52" s="361">
        <f t="shared" ca="1" si="17"/>
        <v>4500</v>
      </c>
      <c r="J52" s="361">
        <f t="shared" ca="1" si="18"/>
        <v>0</v>
      </c>
      <c r="K52" s="362">
        <f t="shared" ca="1" si="19"/>
        <v>4500</v>
      </c>
      <c r="L52" s="342"/>
      <c r="M52" s="342"/>
      <c r="N52" s="369"/>
      <c r="O52" s="344"/>
      <c r="P52" s="396"/>
      <c r="Q52" s="344"/>
    </row>
    <row r="53" spans="1:17" s="365" customFormat="1">
      <c r="A53" s="336"/>
      <c r="B53" s="505">
        <v>4</v>
      </c>
      <c r="C53" s="506" t="s">
        <v>768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0">
        <f>F49*1</f>
        <v>1</v>
      </c>
      <c r="G53" s="360">
        <f ca="1">IF(ISERROR(OFFSET('HARGA SATUAN'!$I$6,MATCH(RAB!C53,'HARGA SATUAN'!$C$7:$C$1492,0),0)),0,OFFSET('HARGA SATUAN'!$I$6,MATCH(RAB!C53,'HARGA SATUAN'!$C$7:$C$1492,0),0))</f>
        <v>55500</v>
      </c>
      <c r="H53" s="361">
        <f t="shared" ca="1" si="16"/>
        <v>0</v>
      </c>
      <c r="I53" s="361">
        <f t="shared" ca="1" si="17"/>
        <v>0</v>
      </c>
      <c r="J53" s="361">
        <f t="shared" ca="1" si="18"/>
        <v>55500</v>
      </c>
      <c r="K53" s="362">
        <f t="shared" ca="1" si="19"/>
        <v>55500</v>
      </c>
      <c r="L53" s="342"/>
      <c r="M53" s="342"/>
      <c r="N53" s="369"/>
      <c r="O53" s="344"/>
      <c r="P53" s="396"/>
      <c r="Q53" s="344"/>
    </row>
    <row r="54" spans="1:17" s="365" customFormat="1">
      <c r="A54" s="336"/>
      <c r="B54" s="497"/>
      <c r="C54" s="498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0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  <c r="L54" s="342"/>
      <c r="M54" s="342"/>
      <c r="N54" s="369"/>
      <c r="O54" s="344"/>
      <c r="P54" s="396"/>
      <c r="Q54" s="344"/>
    </row>
    <row r="55" spans="1:17" s="365" customFormat="1">
      <c r="A55" s="336"/>
      <c r="B55" s="497" t="s">
        <v>1035</v>
      </c>
      <c r="C55" s="498" t="s">
        <v>1619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0"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6"/>
        <v>0</v>
      </c>
      <c r="I55" s="361">
        <f t="shared" ca="1" si="17"/>
        <v>0</v>
      </c>
      <c r="J55" s="361">
        <f t="shared" ca="1" si="18"/>
        <v>0</v>
      </c>
      <c r="K55" s="362">
        <f t="shared" ca="1" si="19"/>
        <v>0</v>
      </c>
      <c r="L55" s="342"/>
      <c r="M55" s="342"/>
      <c r="N55" s="369"/>
      <c r="O55" s="344"/>
      <c r="P55" s="396"/>
      <c r="Q55" s="344"/>
    </row>
    <row r="56" spans="1:17" s="365" customFormat="1">
      <c r="A56" s="336"/>
      <c r="B56" s="497">
        <v>1</v>
      </c>
      <c r="C56" s="498" t="s">
        <v>30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0">
        <f>F55*1</f>
        <v>1</v>
      </c>
      <c r="G56" s="360">
        <f ca="1">IF(ISERROR(OFFSET('HARGA SATUAN'!$I$6,MATCH(RAB!C56,'HARGA SATUAN'!$C$7:$C$1492,0),0)),0,OFFSET('HARGA SATUAN'!$I$6,MATCH(RAB!C56,'HARGA SATUAN'!$C$7:$C$1492,0),0))</f>
        <v>47459</v>
      </c>
      <c r="H56" s="361">
        <f t="shared" ref="H56:H62" ca="1" si="20">IF(OR(D56="MDU",D56="MDU-KD"),(IF($O$3="RAB NON MDU","PLN KD",G56*F56)),0)</f>
        <v>0</v>
      </c>
      <c r="I56" s="361">
        <f t="shared" ref="I56:I62" ca="1" si="21">IF(D56="HDW",G56*F56,0)</f>
        <v>47459</v>
      </c>
      <c r="J56" s="361">
        <f t="shared" ref="J56:J62" ca="1" si="22">IF(D56="JASA",G56*F56,0)</f>
        <v>0</v>
      </c>
      <c r="K56" s="362">
        <f t="shared" ref="K56:K62" ca="1" si="23">SUM(H56:J56)</f>
        <v>47459</v>
      </c>
      <c r="L56" s="342"/>
      <c r="M56" s="342"/>
      <c r="N56" s="369"/>
      <c r="O56" s="344"/>
      <c r="P56" s="396"/>
      <c r="Q56" s="344"/>
    </row>
    <row r="57" spans="1:17" s="365" customFormat="1">
      <c r="A57" s="336"/>
      <c r="B57" s="497">
        <v>2</v>
      </c>
      <c r="C57" s="498" t="s">
        <v>32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500">
        <f>F55*1</f>
        <v>1</v>
      </c>
      <c r="G57" s="360">
        <f ca="1">IF(ISERROR(OFFSET('HARGA SATUAN'!$I$6,MATCH(RAB!C57,'HARGA SATUAN'!$C$7:$C$1492,0),0)),0,OFFSET('HARGA SATUAN'!$I$6,MATCH(RAB!C57,'HARGA SATUAN'!$C$7:$C$1492,0),0))</f>
        <v>30000</v>
      </c>
      <c r="H57" s="361">
        <f t="shared" ca="1" si="20"/>
        <v>0</v>
      </c>
      <c r="I57" s="361">
        <f t="shared" ca="1" si="21"/>
        <v>30000</v>
      </c>
      <c r="J57" s="361">
        <f t="shared" ca="1" si="22"/>
        <v>0</v>
      </c>
      <c r="K57" s="362">
        <f t="shared" ca="1" si="23"/>
        <v>30000</v>
      </c>
      <c r="L57" s="342"/>
      <c r="M57" s="342"/>
      <c r="N57" s="369"/>
      <c r="O57" s="344"/>
      <c r="P57" s="396"/>
      <c r="Q57" s="344"/>
    </row>
    <row r="58" spans="1:17" s="365" customFormat="1">
      <c r="A58" s="336"/>
      <c r="B58" s="497">
        <v>3</v>
      </c>
      <c r="C58" s="498" t="s">
        <v>33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0">
        <f>F55*1</f>
        <v>1</v>
      </c>
      <c r="G58" s="360">
        <f ca="1">IF(ISERROR(OFFSET('HARGA SATUAN'!$I$6,MATCH(RAB!C58,'HARGA SATUAN'!$C$7:$C$1492,0),0)),0,OFFSET('HARGA SATUAN'!$I$6,MATCH(RAB!C58,'HARGA SATUAN'!$C$7:$C$1492,0),0))</f>
        <v>9500</v>
      </c>
      <c r="H58" s="361">
        <f t="shared" ca="1" si="20"/>
        <v>0</v>
      </c>
      <c r="I58" s="361">
        <f t="shared" ca="1" si="21"/>
        <v>9500</v>
      </c>
      <c r="J58" s="361">
        <f t="shared" ca="1" si="22"/>
        <v>0</v>
      </c>
      <c r="K58" s="362">
        <f t="shared" ca="1" si="23"/>
        <v>9500</v>
      </c>
      <c r="L58" s="342"/>
      <c r="M58" s="342"/>
      <c r="N58" s="369"/>
      <c r="O58" s="344"/>
      <c r="P58" s="396"/>
      <c r="Q58" s="344"/>
    </row>
    <row r="59" spans="1:17" s="365" customFormat="1">
      <c r="A59" s="336"/>
      <c r="B59" s="497">
        <v>4</v>
      </c>
      <c r="C59" s="498" t="s">
        <v>738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0">
        <f>F55*1</f>
        <v>1</v>
      </c>
      <c r="G59" s="360">
        <f ca="1">IF(ISERROR(OFFSET('HARGA SATUAN'!$I$6,MATCH(RAB!C59,'HARGA SATUAN'!$C$7:$C$1492,0),0)),0,OFFSET('HARGA SATUAN'!$I$6,MATCH(RAB!C59,'HARGA SATUAN'!$C$7:$C$1492,0),0))</f>
        <v>21200</v>
      </c>
      <c r="H59" s="361">
        <f t="shared" ca="1" si="20"/>
        <v>0</v>
      </c>
      <c r="I59" s="361">
        <f t="shared" ca="1" si="21"/>
        <v>0</v>
      </c>
      <c r="J59" s="361">
        <f t="shared" ca="1" si="22"/>
        <v>21200</v>
      </c>
      <c r="K59" s="362">
        <f t="shared" ca="1" si="23"/>
        <v>21200</v>
      </c>
      <c r="L59" s="342"/>
      <c r="M59" s="342"/>
      <c r="N59" s="369"/>
      <c r="O59" s="344"/>
      <c r="P59" s="396"/>
      <c r="Q59" s="344"/>
    </row>
    <row r="60" spans="1:17" s="365" customFormat="1">
      <c r="A60" s="336"/>
      <c r="B60" s="497"/>
      <c r="C60" s="498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0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  <c r="L60" s="342"/>
      <c r="M60" s="342"/>
      <c r="N60" s="369"/>
      <c r="O60" s="344"/>
      <c r="P60" s="396"/>
      <c r="Q60" s="344"/>
    </row>
    <row r="61" spans="1:17">
      <c r="B61" s="366" t="s">
        <v>1608</v>
      </c>
      <c r="C61" s="367" t="s">
        <v>1610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0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20"/>
        <v>0</v>
      </c>
      <c r="I61" s="361">
        <f t="shared" ca="1" si="21"/>
        <v>0</v>
      </c>
      <c r="J61" s="361">
        <f t="shared" ca="1" si="22"/>
        <v>0</v>
      </c>
      <c r="K61" s="362">
        <f t="shared" ca="1" si="23"/>
        <v>0</v>
      </c>
    </row>
    <row r="62" spans="1:17">
      <c r="B62" s="493"/>
      <c r="C62" s="496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0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20"/>
        <v>0</v>
      </c>
      <c r="I62" s="361">
        <f t="shared" ca="1" si="21"/>
        <v>0</v>
      </c>
      <c r="J62" s="361">
        <f t="shared" ca="1" si="22"/>
        <v>0</v>
      </c>
      <c r="K62" s="362">
        <f t="shared" ca="1" si="23"/>
        <v>0</v>
      </c>
    </row>
    <row r="63" spans="1:17">
      <c r="B63" s="494" t="s">
        <v>1609</v>
      </c>
      <c r="C63" s="499" t="s">
        <v>1612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36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:H68" ca="1" si="24">IF(OR(D63="MDU",D63="MDU-KD"),(IF($O$3="RAB NON MDU","PLN KD",G63*F63)),0)</f>
        <v>0</v>
      </c>
      <c r="I63" s="361">
        <f t="shared" ref="I63:I68" ca="1" si="25">IF(D63="HDW",G63*F63,0)</f>
        <v>0</v>
      </c>
      <c r="J63" s="361">
        <f t="shared" ref="J63:J68" ca="1" si="26">IF(D63="JASA",G63*F63,0)</f>
        <v>0</v>
      </c>
      <c r="K63" s="362">
        <f t="shared" ref="K63:K68" ca="1" si="27">SUM(H63:J63)</f>
        <v>0</v>
      </c>
    </row>
    <row r="64" spans="1:17">
      <c r="B64" s="494" t="s">
        <v>1035</v>
      </c>
      <c r="C64" s="495" t="s">
        <v>1621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09">
        <v>1</v>
      </c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4"/>
        <v>0</v>
      </c>
      <c r="I64" s="361">
        <f t="shared" ca="1" si="25"/>
        <v>0</v>
      </c>
      <c r="J64" s="361">
        <f t="shared" ca="1" si="26"/>
        <v>0</v>
      </c>
      <c r="K64" s="362">
        <f t="shared" ca="1" si="27"/>
        <v>0</v>
      </c>
    </row>
    <row r="65" spans="2:11">
      <c r="B65" s="510">
        <v>1</v>
      </c>
      <c r="C65" s="109" t="s">
        <v>483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9">
        <f>F64*1</f>
        <v>1</v>
      </c>
      <c r="G65" s="360">
        <f ca="1">IF(ISERROR(OFFSET('HARGA SATUAN'!$I$6,MATCH(RAB!C65,'HARGA SATUAN'!$C$7:$C$1492,0),0)),0,OFFSET('HARGA SATUAN'!$I$6,MATCH(RAB!C65,'HARGA SATUAN'!$C$7:$C$1492,0),0))</f>
        <v>1719200</v>
      </c>
      <c r="H65" s="361">
        <f t="shared" ca="1" si="24"/>
        <v>0</v>
      </c>
      <c r="I65" s="361">
        <f t="shared" ca="1" si="25"/>
        <v>1719200</v>
      </c>
      <c r="J65" s="361">
        <f t="shared" ca="1" si="26"/>
        <v>0</v>
      </c>
      <c r="K65" s="362">
        <f t="shared" ca="1" si="27"/>
        <v>1719200</v>
      </c>
    </row>
    <row r="66" spans="2:11">
      <c r="B66" s="510">
        <v>2</v>
      </c>
      <c r="C66" s="511" t="s">
        <v>508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9">
        <f>F64*1</f>
        <v>1</v>
      </c>
      <c r="G66" s="360">
        <f ca="1">IF(ISERROR(OFFSET('HARGA SATUAN'!$I$6,MATCH(RAB!C66,'HARGA SATUAN'!$C$7:$C$1492,0),0)),0,OFFSET('HARGA SATUAN'!$I$6,MATCH(RAB!C66,'HARGA SATUAN'!$C$7:$C$1492,0),0))</f>
        <v>3564900</v>
      </c>
      <c r="H66" s="361">
        <f t="shared" ca="1" si="24"/>
        <v>3564900</v>
      </c>
      <c r="I66" s="361">
        <f t="shared" ca="1" si="25"/>
        <v>0</v>
      </c>
      <c r="J66" s="361">
        <f t="shared" ca="1" si="26"/>
        <v>0</v>
      </c>
      <c r="K66" s="362">
        <f t="shared" ca="1" si="27"/>
        <v>3564900</v>
      </c>
    </row>
    <row r="67" spans="2:11">
      <c r="B67" s="510">
        <v>3</v>
      </c>
      <c r="C67" s="511" t="s">
        <v>76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509">
        <f>F64*35</f>
        <v>35</v>
      </c>
      <c r="G67" s="360">
        <f ca="1">IF(ISERROR(OFFSET('HARGA SATUAN'!$I$6,MATCH(RAB!C67,'HARGA SATUAN'!$C$7:$C$1492,0),0)),0,OFFSET('HARGA SATUAN'!$I$6,MATCH(RAB!C67,'HARGA SATUAN'!$C$7:$C$1492,0),0))</f>
        <v>10000</v>
      </c>
      <c r="H67" s="361">
        <f t="shared" ca="1" si="24"/>
        <v>0</v>
      </c>
      <c r="I67" s="361">
        <f t="shared" ca="1" si="25"/>
        <v>350000</v>
      </c>
      <c r="J67" s="361">
        <f t="shared" ca="1" si="26"/>
        <v>0</v>
      </c>
      <c r="K67" s="362">
        <f t="shared" ca="1" si="27"/>
        <v>350000</v>
      </c>
    </row>
    <row r="68" spans="2:11">
      <c r="B68" s="510">
        <v>4</v>
      </c>
      <c r="C68" s="511" t="s">
        <v>799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9">
        <f>F64*1</f>
        <v>1</v>
      </c>
      <c r="G68" s="360">
        <f ca="1">IF(ISERROR(OFFSET('HARGA SATUAN'!$I$6,MATCH(RAB!C68,'HARGA SATUAN'!$C$7:$C$1492,0),0)),0,OFFSET('HARGA SATUAN'!$I$6,MATCH(RAB!C68,'HARGA SATUAN'!$C$7:$C$1492,0),0))</f>
        <v>106400</v>
      </c>
      <c r="H68" s="361">
        <f t="shared" ca="1" si="24"/>
        <v>0</v>
      </c>
      <c r="I68" s="361">
        <f t="shared" ca="1" si="25"/>
        <v>0</v>
      </c>
      <c r="J68" s="361">
        <f t="shared" ca="1" si="26"/>
        <v>106400</v>
      </c>
      <c r="K68" s="362">
        <f t="shared" ca="1" si="27"/>
        <v>106400</v>
      </c>
    </row>
    <row r="69" spans="2:11">
      <c r="B69" s="374"/>
      <c r="C69" s="504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:H88" ca="1" si="28">IF(OR(D69="MDU",D69="MDU-KD"),(IF($O$3="RAB NON MDU","PLN KD",G69*F69)),0)</f>
        <v>0</v>
      </c>
      <c r="I69" s="361">
        <f t="shared" ref="I69:I88" ca="1" si="29">IF(D69="HDW",G69*F69,0)</f>
        <v>0</v>
      </c>
      <c r="J69" s="361">
        <f t="shared" ref="J69:J88" ca="1" si="30">IF(D69="JASA",G69*F69,0)</f>
        <v>0</v>
      </c>
      <c r="K69" s="362">
        <f t="shared" ref="K69:K88" ca="1" si="31">SUM(H69:J69)</f>
        <v>0</v>
      </c>
    </row>
    <row r="70" spans="2:11">
      <c r="B70" s="510" t="s">
        <v>1035</v>
      </c>
      <c r="C70" s="511" t="s">
        <v>1622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09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8"/>
        <v>0</v>
      </c>
      <c r="I70" s="361">
        <f t="shared" ca="1" si="29"/>
        <v>0</v>
      </c>
      <c r="J70" s="361">
        <f t="shared" ca="1" si="30"/>
        <v>0</v>
      </c>
      <c r="K70" s="362">
        <f t="shared" ca="1" si="31"/>
        <v>0</v>
      </c>
    </row>
    <row r="71" spans="2:11">
      <c r="B71" s="510">
        <v>1</v>
      </c>
      <c r="C71" s="511" t="s">
        <v>115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Set</v>
      </c>
      <c r="F71" s="509">
        <f>F70*1</f>
        <v>1</v>
      </c>
      <c r="G71" s="360">
        <f ca="1">IF(ISERROR(OFFSET('HARGA SATUAN'!$I$6,MATCH(RAB!C71,'HARGA SATUAN'!$C$7:$C$1492,0),0)),0,OFFSET('HARGA SATUAN'!$I$6,MATCH(RAB!C71,'HARGA SATUAN'!$C$7:$C$1492,0),0))</f>
        <v>11500</v>
      </c>
      <c r="H71" s="361">
        <f t="shared" ca="1" si="28"/>
        <v>0</v>
      </c>
      <c r="I71" s="361">
        <f t="shared" ca="1" si="29"/>
        <v>11500</v>
      </c>
      <c r="J71" s="361">
        <f t="shared" ca="1" si="30"/>
        <v>0</v>
      </c>
      <c r="K71" s="362">
        <f t="shared" ca="1" si="31"/>
        <v>11500</v>
      </c>
    </row>
    <row r="72" spans="2:11">
      <c r="B72" s="510">
        <v>2</v>
      </c>
      <c r="C72" s="511" t="s">
        <v>145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509">
        <f>F70*1</f>
        <v>1</v>
      </c>
      <c r="G72" s="360">
        <f ca="1">IF(ISERROR(OFFSET('HARGA SATUAN'!$I$6,MATCH(RAB!C72,'HARGA SATUAN'!$C$7:$C$1492,0),0)),0,OFFSET('HARGA SATUAN'!$I$6,MATCH(RAB!C72,'HARGA SATUAN'!$C$7:$C$1492,0),0))</f>
        <v>6200</v>
      </c>
      <c r="H72" s="361">
        <f t="shared" ca="1" si="28"/>
        <v>0</v>
      </c>
      <c r="I72" s="361">
        <f t="shared" ca="1" si="29"/>
        <v>6200</v>
      </c>
      <c r="J72" s="361">
        <f t="shared" ca="1" si="30"/>
        <v>0</v>
      </c>
      <c r="K72" s="362">
        <f t="shared" ca="1" si="31"/>
        <v>6200</v>
      </c>
    </row>
    <row r="73" spans="2:11">
      <c r="B73" s="510">
        <v>3</v>
      </c>
      <c r="C73" s="511" t="s">
        <v>587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Btg</v>
      </c>
      <c r="F73" s="509">
        <f>F70*1</f>
        <v>1</v>
      </c>
      <c r="G73" s="360">
        <f ca="1">IF(ISERROR(OFFSET('HARGA SATUAN'!$I$6,MATCH(RAB!C73,'HARGA SATUAN'!$C$7:$C$1492,0),0)),0,OFFSET('HARGA SATUAN'!$I$6,MATCH(RAB!C73,'HARGA SATUAN'!$C$7:$C$1492,0),0))</f>
        <v>45796</v>
      </c>
      <c r="H73" s="361">
        <f t="shared" ca="1" si="28"/>
        <v>0</v>
      </c>
      <c r="I73" s="361">
        <f t="shared" ca="1" si="29"/>
        <v>45796</v>
      </c>
      <c r="J73" s="361">
        <f t="shared" ca="1" si="30"/>
        <v>0</v>
      </c>
      <c r="K73" s="362">
        <f t="shared" ca="1" si="31"/>
        <v>45796</v>
      </c>
    </row>
    <row r="74" spans="2:11">
      <c r="B74" s="510">
        <v>4</v>
      </c>
      <c r="C74" s="511" t="s">
        <v>118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Set</v>
      </c>
      <c r="F74" s="509">
        <f>F70*1</f>
        <v>1</v>
      </c>
      <c r="G74" s="360">
        <f ca="1">IF(ISERROR(OFFSET('HARGA SATUAN'!$I$6,MATCH(RAB!C74,'HARGA SATUAN'!$C$7:$C$1492,0),0)),0,OFFSET('HARGA SATUAN'!$I$6,MATCH(RAB!C74,'HARGA SATUAN'!$C$7:$C$1492,0),0))</f>
        <v>5300</v>
      </c>
      <c r="H74" s="361">
        <f t="shared" ca="1" si="28"/>
        <v>0</v>
      </c>
      <c r="I74" s="361">
        <f t="shared" ca="1" si="29"/>
        <v>5300</v>
      </c>
      <c r="J74" s="361">
        <f t="shared" ca="1" si="30"/>
        <v>0</v>
      </c>
      <c r="K74" s="362">
        <f t="shared" ca="1" si="31"/>
        <v>5300</v>
      </c>
    </row>
    <row r="75" spans="2:11">
      <c r="B75" s="510">
        <v>5</v>
      </c>
      <c r="C75" s="511" t="s">
        <v>117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9">
        <f>F70*1</f>
        <v>1</v>
      </c>
      <c r="G75" s="360">
        <f ca="1">IF(ISERROR(OFFSET('HARGA SATUAN'!$I$6,MATCH(RAB!C75,'HARGA SATUAN'!$C$7:$C$1492,0),0)),0,OFFSET('HARGA SATUAN'!$I$6,MATCH(RAB!C75,'HARGA SATUAN'!$C$7:$C$1492,0),0))</f>
        <v>58600</v>
      </c>
      <c r="H75" s="361">
        <f t="shared" ca="1" si="28"/>
        <v>0</v>
      </c>
      <c r="I75" s="361">
        <f t="shared" ca="1" si="29"/>
        <v>58600</v>
      </c>
      <c r="J75" s="361">
        <f t="shared" ca="1" si="30"/>
        <v>0</v>
      </c>
      <c r="K75" s="362">
        <f t="shared" ca="1" si="31"/>
        <v>58600</v>
      </c>
    </row>
    <row r="76" spans="2:11">
      <c r="B76" s="510">
        <v>6</v>
      </c>
      <c r="C76" s="109" t="s">
        <v>1155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Set</v>
      </c>
      <c r="F76" s="509">
        <f>F70*2</f>
        <v>2</v>
      </c>
      <c r="G76" s="360">
        <f ca="1">IF(ISERROR(OFFSET('HARGA SATUAN'!$I$6,MATCH(RAB!C76,'HARGA SATUAN'!$C$7:$C$1492,0),0)),0,OFFSET('HARGA SATUAN'!$I$6,MATCH(RAB!C76,'HARGA SATUAN'!$C$7:$C$1492,0),0))</f>
        <v>2900</v>
      </c>
      <c r="H76" s="361">
        <f t="shared" ca="1" si="28"/>
        <v>0</v>
      </c>
      <c r="I76" s="361">
        <f t="shared" ca="1" si="29"/>
        <v>5800</v>
      </c>
      <c r="J76" s="361">
        <f t="shared" ca="1" si="30"/>
        <v>0</v>
      </c>
      <c r="K76" s="362">
        <f t="shared" ca="1" si="31"/>
        <v>5800</v>
      </c>
    </row>
    <row r="77" spans="2:11">
      <c r="B77" s="510">
        <v>7</v>
      </c>
      <c r="C77" s="511" t="s">
        <v>119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Set</v>
      </c>
      <c r="F77" s="509">
        <f>F70*4</f>
        <v>4</v>
      </c>
      <c r="G77" s="360">
        <f ca="1">IF(ISERROR(OFFSET('HARGA SATUAN'!$I$6,MATCH(RAB!C77,'HARGA SATUAN'!$C$7:$C$1492,0),0)),0,OFFSET('HARGA SATUAN'!$I$6,MATCH(RAB!C77,'HARGA SATUAN'!$C$7:$C$1492,0),0))</f>
        <v>8900</v>
      </c>
      <c r="H77" s="361">
        <f t="shared" ca="1" si="28"/>
        <v>0</v>
      </c>
      <c r="I77" s="361">
        <f t="shared" ca="1" si="29"/>
        <v>35600</v>
      </c>
      <c r="J77" s="361">
        <f t="shared" ca="1" si="30"/>
        <v>0</v>
      </c>
      <c r="K77" s="362">
        <f t="shared" ca="1" si="31"/>
        <v>35600</v>
      </c>
    </row>
    <row r="78" spans="2:11">
      <c r="B78" s="510"/>
      <c r="C78" s="511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8"/>
        <v>0</v>
      </c>
      <c r="I78" s="361">
        <f t="shared" ca="1" si="29"/>
        <v>0</v>
      </c>
      <c r="J78" s="361">
        <f t="shared" ca="1" si="30"/>
        <v>0</v>
      </c>
      <c r="K78" s="362">
        <f t="shared" ca="1" si="31"/>
        <v>0</v>
      </c>
    </row>
    <row r="79" spans="2:11">
      <c r="B79" s="510" t="s">
        <v>1035</v>
      </c>
      <c r="C79" s="512" t="s">
        <v>1623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0">
        <v>1</v>
      </c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28"/>
        <v>0</v>
      </c>
      <c r="I79" s="361">
        <f t="shared" ca="1" si="29"/>
        <v>0</v>
      </c>
      <c r="J79" s="361">
        <f t="shared" ca="1" si="30"/>
        <v>0</v>
      </c>
      <c r="K79" s="362">
        <f t="shared" ca="1" si="31"/>
        <v>0</v>
      </c>
    </row>
    <row r="80" spans="2:11">
      <c r="B80" s="510">
        <v>1</v>
      </c>
      <c r="C80" s="512" t="s">
        <v>29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0">
        <f>F79*1</f>
        <v>1</v>
      </c>
      <c r="G80" s="360">
        <f ca="1">IF(ISERROR(OFFSET('HARGA SATUAN'!$I$6,MATCH(RAB!C80,'HARGA SATUAN'!$C$7:$C$1492,0),0)),0,OFFSET('HARGA SATUAN'!$I$6,MATCH(RAB!C80,'HARGA SATUAN'!$C$7:$C$1492,0),0))</f>
        <v>185200</v>
      </c>
      <c r="H80" s="361">
        <f t="shared" ca="1" si="28"/>
        <v>0</v>
      </c>
      <c r="I80" s="361">
        <f t="shared" ca="1" si="29"/>
        <v>185200</v>
      </c>
      <c r="J80" s="361">
        <f t="shared" ca="1" si="30"/>
        <v>0</v>
      </c>
      <c r="K80" s="362">
        <f t="shared" ca="1" si="31"/>
        <v>185200</v>
      </c>
    </row>
    <row r="81" spans="2:13">
      <c r="B81" s="510">
        <v>2</v>
      </c>
      <c r="C81" s="512" t="s">
        <v>30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0">
        <f>F79*1</f>
        <v>1</v>
      </c>
      <c r="G81" s="360">
        <f ca="1">IF(ISERROR(OFFSET('HARGA SATUAN'!$I$6,MATCH(RAB!C81,'HARGA SATUAN'!$C$7:$C$1492,0),0)),0,OFFSET('HARGA SATUAN'!$I$6,MATCH(RAB!C81,'HARGA SATUAN'!$C$7:$C$1492,0),0))</f>
        <v>47459</v>
      </c>
      <c r="H81" s="361">
        <f t="shared" ca="1" si="28"/>
        <v>0</v>
      </c>
      <c r="I81" s="361">
        <f t="shared" ca="1" si="29"/>
        <v>47459</v>
      </c>
      <c r="J81" s="361">
        <f t="shared" ca="1" si="30"/>
        <v>0</v>
      </c>
      <c r="K81" s="362">
        <f t="shared" ca="1" si="31"/>
        <v>47459</v>
      </c>
    </row>
    <row r="82" spans="2:13">
      <c r="B82" s="510">
        <v>3</v>
      </c>
      <c r="C82" s="512" t="s">
        <v>32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00">
        <f>F79*1.5</f>
        <v>1.5</v>
      </c>
      <c r="G82" s="360">
        <f ca="1">IF(ISERROR(OFFSET('HARGA SATUAN'!$I$6,MATCH(RAB!C82,'HARGA SATUAN'!$C$7:$C$1492,0),0)),0,OFFSET('HARGA SATUAN'!$I$6,MATCH(RAB!C82,'HARGA SATUAN'!$C$7:$C$1492,0),0))</f>
        <v>30000</v>
      </c>
      <c r="H82" s="361">
        <f t="shared" ca="1" si="28"/>
        <v>0</v>
      </c>
      <c r="I82" s="361">
        <f t="shared" ca="1" si="29"/>
        <v>45000</v>
      </c>
      <c r="J82" s="361">
        <f t="shared" ca="1" si="30"/>
        <v>0</v>
      </c>
      <c r="K82" s="362">
        <f t="shared" ca="1" si="31"/>
        <v>45000</v>
      </c>
    </row>
    <row r="83" spans="2:13">
      <c r="B83" s="510">
        <v>4</v>
      </c>
      <c r="C83" s="512" t="s">
        <v>33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0">
        <f>F79*2</f>
        <v>2</v>
      </c>
      <c r="G83" s="360">
        <f ca="1">IF(ISERROR(OFFSET('HARGA SATUAN'!$I$6,MATCH(RAB!C83,'HARGA SATUAN'!$C$7:$C$1492,0),0)),0,OFFSET('HARGA SATUAN'!$I$6,MATCH(RAB!C83,'HARGA SATUAN'!$C$7:$C$1492,0),0))</f>
        <v>9500</v>
      </c>
      <c r="H83" s="361">
        <f t="shared" ca="1" si="28"/>
        <v>0</v>
      </c>
      <c r="I83" s="361">
        <f t="shared" ca="1" si="29"/>
        <v>19000</v>
      </c>
      <c r="J83" s="361">
        <f t="shared" ca="1" si="30"/>
        <v>0</v>
      </c>
      <c r="K83" s="362">
        <f t="shared" ca="1" si="31"/>
        <v>19000</v>
      </c>
    </row>
    <row r="84" spans="2:13">
      <c r="B84" s="510">
        <v>5</v>
      </c>
      <c r="C84" s="512" t="s">
        <v>735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0">
        <f>F79*1</f>
        <v>1</v>
      </c>
      <c r="G84" s="360">
        <f ca="1">IF(ISERROR(OFFSET('HARGA SATUAN'!$I$6,MATCH(RAB!C84,'HARGA SATUAN'!$C$7:$C$1492,0),0)),0,OFFSET('HARGA SATUAN'!$I$6,MATCH(RAB!C84,'HARGA SATUAN'!$C$7:$C$1492,0),0))</f>
        <v>56400</v>
      </c>
      <c r="H84" s="361">
        <f t="shared" ca="1" si="28"/>
        <v>0</v>
      </c>
      <c r="I84" s="361">
        <f t="shared" ca="1" si="29"/>
        <v>0</v>
      </c>
      <c r="J84" s="361">
        <f t="shared" ca="1" si="30"/>
        <v>56400</v>
      </c>
      <c r="K84" s="362">
        <f t="shared" ca="1" si="31"/>
        <v>56400</v>
      </c>
    </row>
    <row r="85" spans="2:13">
      <c r="B85" s="510"/>
      <c r="C85" s="512"/>
      <c r="D85" s="358"/>
      <c r="E85" s="359"/>
      <c r="F85" s="500"/>
      <c r="G85" s="360"/>
      <c r="H85" s="361"/>
      <c r="I85" s="361"/>
      <c r="J85" s="361"/>
      <c r="K85" s="362"/>
    </row>
    <row r="86" spans="2:13">
      <c r="B86" s="366" t="s">
        <v>22</v>
      </c>
      <c r="C86" s="367" t="s">
        <v>1611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28"/>
        <v>0</v>
      </c>
      <c r="I86" s="361">
        <f t="shared" ca="1" si="29"/>
        <v>0</v>
      </c>
      <c r="J86" s="361">
        <f t="shared" ca="1" si="30"/>
        <v>0</v>
      </c>
      <c r="K86" s="362">
        <f t="shared" ca="1" si="31"/>
        <v>0</v>
      </c>
    </row>
    <row r="87" spans="2:13">
      <c r="B87" s="374"/>
      <c r="C87" s="373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28"/>
        <v>0</v>
      </c>
      <c r="I87" s="361">
        <f t="shared" ca="1" si="29"/>
        <v>0</v>
      </c>
      <c r="J87" s="361">
        <f t="shared" ca="1" si="30"/>
        <v>0</v>
      </c>
      <c r="K87" s="362">
        <f t="shared" ca="1" si="31"/>
        <v>0</v>
      </c>
    </row>
    <row r="88" spans="2:13">
      <c r="B88" s="375"/>
      <c r="C88" s="376" t="s">
        <v>475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28"/>
        <v>0</v>
      </c>
      <c r="I88" s="361">
        <f t="shared" ca="1" si="29"/>
        <v>0</v>
      </c>
      <c r="J88" s="361">
        <f t="shared" ca="1" si="30"/>
        <v>0</v>
      </c>
      <c r="K88" s="362">
        <f t="shared" ca="1" si="31"/>
        <v>0</v>
      </c>
    </row>
    <row r="89" spans="2:13">
      <c r="B89" s="378">
        <v>1</v>
      </c>
      <c r="C89" s="379" t="s">
        <v>1091</v>
      </c>
      <c r="D89" s="380" t="str">
        <f ca="1">IF(ISERROR(OFFSET('HARGA SATUAN'!$D$6,MATCH(RAB!C89,'HARGA SATUAN'!$C$7:$C$1492,0),0)),"",OFFSET('HARGA SATUAN'!$D$6,MATCH(RAB!C89,'HARGA SATUAN'!$C$7:$C$1492,0),0))</f>
        <v>JASA</v>
      </c>
      <c r="E89" s="381" t="str">
        <f ca="1">IF(ISERROR(OFFSET('HARGA SATUAN'!$E$6,MATCH(RAB!C89,'HARGA SATUAN'!$C$7:$C$1492,0),0)),"",OFFSET('HARGA SATUAN'!$E$6,MATCH(RAB!C89,'HARGA SATUAN'!$C$7:$C$1492,0),0))</f>
        <v>Lot</v>
      </c>
      <c r="F89" s="382">
        <v>1</v>
      </c>
      <c r="G89" s="383">
        <f ca="1">IF(ISERROR(OFFSET('HARGA SATUAN'!$I$6,MATCH(RAB!C89,'HARGA SATUAN'!$C$7:$C$1492,0),0)),0,OFFSET('HARGA SATUAN'!$I$6,MATCH(RAB!C89,'HARGA SATUAN'!$C$7:$C$1492,0),0))</f>
        <v>2.5000000000000001E-2</v>
      </c>
      <c r="H89" s="384">
        <f ca="1">SUM(H14:H88)*2.5%</f>
        <v>429747.5</v>
      </c>
      <c r="I89" s="384">
        <f t="shared" ref="I89:J89" ca="1" si="32">SUM(I14:I88)*2.5%</f>
        <v>361478.45</v>
      </c>
      <c r="J89" s="384">
        <f t="shared" ca="1" si="32"/>
        <v>42105</v>
      </c>
      <c r="K89" s="384">
        <f ca="1">SUM(K14:K88)*2.5%</f>
        <v>833330.95000000007</v>
      </c>
    </row>
    <row r="90" spans="2:13">
      <c r="B90" s="385"/>
      <c r="C90" s="386"/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IF(ISERROR(OFFSET('HARGA SATUAN'!$E$6,MATCH(RAB!C90,'HARGA SATUAN'!$C$7:$C$1492,0),0)),"",OFFSET('HARGA SATUAN'!$E$6,MATCH(RAB!C90,'HARGA SATUAN'!$C$7:$C$1492,0),0))</f>
        <v/>
      </c>
      <c r="F90" s="377"/>
      <c r="G90" s="360" t="str">
        <f ca="1">IF(ISERROR(OFFSET('HARGA SATUAN'!$I$6,MATCH(RAB!C90,'HARGA SATUAN'!$C$7:$C$1492,0),0)),"",OFFSET('HARGA SATUAN'!$I$6,MATCH(RAB!C90,'HARGA SATUAN'!$C$7:$C$1492,0),0))</f>
        <v/>
      </c>
      <c r="H90" s="361">
        <f ca="1">IF(OR(D90="MDU",D90="MDU-KD"),IF(G90="PLN",0,G90*F90),0)</f>
        <v>0</v>
      </c>
      <c r="I90" s="361">
        <f ca="1">IF(D90="HDW",IF(G90="PLN",0,G90*F90),0)</f>
        <v>0</v>
      </c>
      <c r="J90" s="361">
        <f ca="1">IF(D90="JASA",IF(G90="PLN",0,G90*F90),0)</f>
        <v>0</v>
      </c>
      <c r="K90" s="362">
        <f ca="1">SUM(H90:J90)</f>
        <v>0</v>
      </c>
    </row>
    <row r="91" spans="2:13" ht="15.75" thickBot="1">
      <c r="B91" s="387"/>
      <c r="C91" s="388"/>
      <c r="D91" s="389"/>
      <c r="E91" s="390"/>
      <c r="F91" s="390"/>
      <c r="G91" s="390"/>
      <c r="H91" s="391"/>
      <c r="I91" s="391"/>
      <c r="J91" s="391"/>
      <c r="K91" s="392"/>
    </row>
    <row r="92" spans="2:13">
      <c r="B92" s="393"/>
      <c r="C92" s="613" t="s">
        <v>1008</v>
      </c>
      <c r="D92" s="613"/>
      <c r="E92" s="613"/>
      <c r="F92" s="613"/>
      <c r="G92" s="394" t="s">
        <v>9</v>
      </c>
      <c r="H92" s="395">
        <f ca="1">SUM(H14:H90)</f>
        <v>17619647.5</v>
      </c>
      <c r="I92" s="395">
        <f ca="1">SUM(I14:I90)</f>
        <v>14820616.449999999</v>
      </c>
      <c r="J92" s="395">
        <f ca="1">SUM(J14:J90)</f>
        <v>1726305</v>
      </c>
      <c r="K92" s="395">
        <f ca="1">SUM(K14:K90)</f>
        <v>34166568.950000003</v>
      </c>
    </row>
    <row r="93" spans="2:13">
      <c r="B93" s="397"/>
      <c r="C93" s="629" t="s">
        <v>1457</v>
      </c>
      <c r="D93" s="629"/>
      <c r="E93" s="629"/>
      <c r="F93" s="629"/>
      <c r="G93" s="398" t="s">
        <v>9</v>
      </c>
      <c r="H93" s="399">
        <f ca="1">H92*0.11</f>
        <v>1938161.2250000001</v>
      </c>
      <c r="I93" s="399">
        <f ca="1">I92*0.11</f>
        <v>1630267.8095</v>
      </c>
      <c r="J93" s="399">
        <f ca="1">J92*0.11</f>
        <v>189893.55</v>
      </c>
      <c r="K93" s="399">
        <f ca="1">K92*0.11</f>
        <v>3758322.5845000003</v>
      </c>
    </row>
    <row r="94" spans="2:13" ht="15.75" thickBot="1">
      <c r="B94" s="397"/>
      <c r="C94" s="627" t="s">
        <v>463</v>
      </c>
      <c r="D94" s="627"/>
      <c r="E94" s="627"/>
      <c r="F94" s="627"/>
      <c r="G94" s="400" t="s">
        <v>9</v>
      </c>
      <c r="H94" s="401">
        <f ca="1">SUM(H92:H93)</f>
        <v>19557808.725000001</v>
      </c>
      <c r="I94" s="401">
        <f ca="1">SUM(I92:I93)</f>
        <v>16450884.259499999</v>
      </c>
      <c r="J94" s="400">
        <f ca="1">SUM(J92:J93)</f>
        <v>1916198.55</v>
      </c>
      <c r="K94" s="400">
        <f ca="1">SUM(K92:K93)</f>
        <v>37924891.534500003</v>
      </c>
      <c r="M94" s="483"/>
    </row>
    <row r="95" spans="2:13">
      <c r="B95" s="630" t="str">
        <f ca="1">"Terbilang : "&amp;PROPER(IF(K94=0,"nol",IF(K94&lt;0,"minus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IF(--MID(TEXT(ABS(K94),"000000000000000"),1,3)=0,"",MID(TEXT(ABS(K94),"000000000000000"),1,1)&amp;" ratus "&amp;MID(TEXT(ABS(K94),"000000000000000"),2,1)&amp;" puluh "&amp;MID(TEXT(ABS(K94),"000000000000000"),3,1)&amp;" trilyun ")&amp; IF(--MID(TEXT(ABS(K94),"000000000000000"),4,3)=0,"",MID(TEXT(ABS(K94),"000000000000000"),4,1)&amp;" ratus "&amp;MID(TEXT(ABS(K94),"000000000000000"),5,1)&amp;" puluh "&amp;MID(TEXT(ABS(K94),"000000000000000"),6,1)&amp;" milyar ")&amp; IF(--MID(TEXT(ABS(K94),"000000000000000"),7,3)=0,"",MID(TEXT(ABS(K94),"000000000000000"),7,1)&amp;" ratus "&amp;MID(TEXT(ABS(K94),"000000000000000"),8,1)&amp;" puluh "&amp;MID(TEXT(ABS(K94),"000000000000000"),9,1)&amp;" juta ")&amp; IF(--MID(TEXT(ABS(K94),"000000000000000"),10,3)=0,"",IF(--MID(TEXT(ABS(K94),"000000000000000"),10,3)=1,"*",MID(TEXT(ABS(K94),"000000000000000"),10,1)&amp;" ratus "&amp;MID(TEXT(ABS(K94),"000000000000000"),11,1)&amp;" puluh ")&amp;MID(TEXT(ABS(K94),"000000000000000"),12,1)&amp;" ribu ")&amp; IF(--MID(TEXT(ABS(K94),"000000000000000"),13,3)=0,"",MID(TEXT(ABS(K94),"000000000000000"),13,1)&amp;" ratus "&amp;MID(TEXT(ABS(K94),"000000000000000"),14,1)&amp;" puluh "&amp;MID(TEXT(ABS(K94),"000000000000000"),15,1)),1,"satu"),2,"dua"),3,"tiga"),4,"empat"),5,"lima"),6,"enam"),7,"tujuh"),8,"delapan"),9,"sembilan"),"0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Puluh Empat Ribu Delapan Ratus Sembilan Puluh Dua Rupiah</v>
      </c>
      <c r="C95" s="631"/>
      <c r="D95" s="631"/>
      <c r="E95" s="631"/>
      <c r="F95" s="631"/>
      <c r="G95" s="631"/>
      <c r="H95" s="631"/>
      <c r="I95" s="631"/>
      <c r="J95" s="631"/>
      <c r="K95" s="632"/>
    </row>
    <row r="96" spans="2:13">
      <c r="B96" s="633"/>
      <c r="C96" s="634"/>
      <c r="D96" s="634"/>
      <c r="E96" s="634"/>
      <c r="F96" s="634"/>
      <c r="G96" s="634"/>
      <c r="H96" s="634"/>
      <c r="I96" s="634"/>
      <c r="J96" s="634"/>
      <c r="K96" s="635"/>
    </row>
    <row r="97" spans="2:11" ht="15.75" thickBot="1">
      <c r="B97" s="402" t="str">
        <f>"Harga yang dipakai adalah "&amp;'HARGA SATUAN'!I5&amp;""</f>
        <v>Harga yang dipakai adalah RAB HSS 2023</v>
      </c>
      <c r="C97" s="403"/>
      <c r="D97" s="404"/>
      <c r="E97" s="404"/>
      <c r="F97" s="404"/>
      <c r="G97" s="405"/>
      <c r="H97" s="405"/>
      <c r="I97" s="405"/>
      <c r="J97" s="405"/>
      <c r="K97" s="406"/>
    </row>
    <row r="98" spans="2:11">
      <c r="C98" s="407"/>
      <c r="E98" s="409"/>
      <c r="F98" s="409"/>
      <c r="G98" s="409"/>
    </row>
    <row r="99" spans="2:11">
      <c r="C99" s="337"/>
      <c r="E99" s="409"/>
      <c r="F99" s="409"/>
      <c r="G99" s="409"/>
      <c r="H99" s="636"/>
      <c r="I99" s="636"/>
      <c r="J99" s="637"/>
      <c r="K99" s="637"/>
    </row>
    <row r="100" spans="2:11">
      <c r="C100" s="337"/>
      <c r="E100" s="409"/>
      <c r="F100" s="409"/>
      <c r="G100" s="409"/>
      <c r="H100" s="410"/>
      <c r="I100" s="626" t="s">
        <v>1629</v>
      </c>
      <c r="J100" s="626"/>
      <c r="K100" s="626"/>
    </row>
    <row r="101" spans="2:11">
      <c r="C101" s="337"/>
      <c r="E101" s="409"/>
      <c r="F101" s="409"/>
      <c r="G101" s="409"/>
      <c r="H101" s="410"/>
      <c r="I101" s="626" t="s">
        <v>1630</v>
      </c>
      <c r="J101" s="626"/>
      <c r="K101" s="626"/>
    </row>
    <row r="102" spans="2:11">
      <c r="C102" s="337"/>
      <c r="E102" s="409"/>
      <c r="F102" s="409"/>
      <c r="G102" s="409"/>
      <c r="H102" s="411"/>
      <c r="I102" s="412"/>
      <c r="J102" s="412"/>
      <c r="K102" s="412"/>
    </row>
    <row r="103" spans="2:11">
      <c r="C103" s="337"/>
      <c r="E103" s="409"/>
      <c r="F103" s="409"/>
      <c r="G103" s="409"/>
      <c r="H103" s="411"/>
      <c r="I103" s="411"/>
      <c r="J103" s="411"/>
      <c r="K103" s="411"/>
    </row>
    <row r="104" spans="2:11">
      <c r="C104" s="337"/>
      <c r="E104" s="409"/>
      <c r="F104" s="409"/>
      <c r="G104" s="409"/>
      <c r="H104" s="411"/>
      <c r="I104" s="411"/>
      <c r="J104" s="411"/>
      <c r="K104" s="411"/>
    </row>
    <row r="105" spans="2:11">
      <c r="C105" s="337"/>
      <c r="E105" s="409"/>
      <c r="F105" s="409"/>
      <c r="G105" s="409"/>
      <c r="H105" s="411"/>
      <c r="I105" s="411"/>
      <c r="J105" s="411"/>
      <c r="K105" s="411"/>
    </row>
    <row r="106" spans="2:11">
      <c r="C106" s="337"/>
      <c r="E106" s="409"/>
      <c r="F106" s="409"/>
      <c r="G106" s="409"/>
      <c r="H106" s="413"/>
      <c r="I106" s="626" t="s">
        <v>1631</v>
      </c>
      <c r="J106" s="626"/>
      <c r="K106" s="626"/>
    </row>
    <row r="107" spans="2:11">
      <c r="C107" s="407"/>
      <c r="E107" s="409"/>
      <c r="F107" s="409"/>
      <c r="G107" s="409"/>
      <c r="H107" s="411"/>
      <c r="I107" s="411"/>
      <c r="J107" s="411"/>
      <c r="K107" s="411"/>
    </row>
    <row r="108" spans="2:11">
      <c r="C108" s="407"/>
      <c r="E108" s="409"/>
      <c r="F108" s="409"/>
      <c r="G108" s="409"/>
      <c r="H108" s="411"/>
      <c r="I108" s="411"/>
      <c r="J108" s="411"/>
      <c r="K108" s="411"/>
    </row>
    <row r="109" spans="2:11">
      <c r="C109" s="407"/>
      <c r="E109" s="409"/>
      <c r="F109" s="409"/>
      <c r="G109" s="409"/>
      <c r="H109" s="411"/>
      <c r="I109" s="411"/>
      <c r="J109" s="411"/>
      <c r="K109" s="411"/>
    </row>
  </sheetData>
  <sheetProtection sort="0" autoFilter="0"/>
  <protectedRanges>
    <protectedRange sqref="B87 B64:B78" name="Range1_1"/>
    <protectedRange sqref="F14:F54 F60:F78 F86:F88" name="Range1_1_2_2"/>
    <protectedRange sqref="C87 C64 C69:C78 C66:C67" name="Range1_1_1"/>
    <protectedRange sqref="B62:C63" name="Range1_6_2"/>
    <protectedRange sqref="C68" name="Range1_1_3_13"/>
    <protectedRange sqref="C17" name="Range1_1_3_14"/>
    <protectedRange sqref="C65" name="Range1_1_3"/>
  </protectedRanges>
  <mergeCells count="22">
    <mergeCell ref="I101:K101"/>
    <mergeCell ref="I106:K106"/>
    <mergeCell ref="C94:F94"/>
    <mergeCell ref="G6:K6"/>
    <mergeCell ref="I100:K100"/>
    <mergeCell ref="C93:F93"/>
    <mergeCell ref="B95:K96"/>
    <mergeCell ref="H99:K99"/>
    <mergeCell ref="H11:K11"/>
    <mergeCell ref="H12:H13"/>
    <mergeCell ref="J12:J13"/>
    <mergeCell ref="K12:K13"/>
    <mergeCell ref="O3:P4"/>
    <mergeCell ref="B4:K4"/>
    <mergeCell ref="C92:F92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">
    <cfRule type="cellIs" dxfId="16" priority="477" operator="equal">
      <formula>0</formula>
    </cfRule>
  </conditionalFormatting>
  <conditionalFormatting sqref="C17">
    <cfRule type="cellIs" dxfId="15" priority="16" operator="equal">
      <formula>0</formula>
    </cfRule>
  </conditionalFormatting>
  <conditionalFormatting sqref="C20">
    <cfRule type="cellIs" dxfId="14" priority="104" operator="equal">
      <formula>0</formula>
    </cfRule>
  </conditionalFormatting>
  <conditionalFormatting sqref="C61">
    <cfRule type="cellIs" dxfId="13" priority="102" operator="equal">
      <formula>0</formula>
    </cfRule>
  </conditionalFormatting>
  <conditionalFormatting sqref="C86">
    <cfRule type="cellIs" dxfId="12" priority="100" operator="equal">
      <formula>0</formula>
    </cfRule>
  </conditionalFormatting>
  <conditionalFormatting sqref="E1:E3 G1:G13 E5:E13 H12:I12 O13 E89:G89 E90:H90 E91:F91 S14:V20 E14:K23 E37:K40 E24:E36 G24:K36 E48:K48 E41:E47 G41:K47 E54:K54 E49:E53 G49:K53 E55:E59 G55:K59 E60:K63 E64:E68 G64:K68 E69:K69 E78:K78 E70:E77 G70:K77 E86:K88 E79:E85 G79:K85 H89:K91">
    <cfRule type="cellIs" dxfId="11" priority="1057" stopIfTrue="1" operator="equal">
      <formula>0</formula>
    </cfRule>
  </conditionalFormatting>
  <conditionalFormatting sqref="G90:G65556 E95:E65556">
    <cfRule type="cellIs" dxfId="10" priority="191" stopIfTrue="1" operator="equal">
      <formula>0</formula>
    </cfRule>
  </conditionalFormatting>
  <conditionalFormatting sqref="F24:F36">
    <cfRule type="cellIs" dxfId="9" priority="10" stopIfTrue="1" operator="equal">
      <formula>0</formula>
    </cfRule>
  </conditionalFormatting>
  <conditionalFormatting sqref="F41:F47">
    <cfRule type="cellIs" dxfId="8" priority="9" stopIfTrue="1" operator="equal">
      <formula>0</formula>
    </cfRule>
  </conditionalFormatting>
  <conditionalFormatting sqref="F49:F53">
    <cfRule type="cellIs" dxfId="7" priority="8" stopIfTrue="1" operator="equal">
      <formula>0</formula>
    </cfRule>
  </conditionalFormatting>
  <conditionalFormatting sqref="F55:F59">
    <cfRule type="cellIs" dxfId="6" priority="7" stopIfTrue="1" operator="equal">
      <formula>0</formula>
    </cfRule>
  </conditionalFormatting>
  <conditionalFormatting sqref="F64:F68">
    <cfRule type="cellIs" dxfId="4" priority="5" stopIfTrue="1" operator="equal">
      <formula>0</formula>
    </cfRule>
  </conditionalFormatting>
  <conditionalFormatting sqref="C76">
    <cfRule type="cellIs" dxfId="3" priority="4" operator="equal">
      <formula>0</formula>
    </cfRule>
  </conditionalFormatting>
  <conditionalFormatting sqref="F70:F77">
    <cfRule type="cellIs" dxfId="2" priority="3" stopIfTrue="1" operator="equal">
      <formula>0</formula>
    </cfRule>
  </conditionalFormatting>
  <conditionalFormatting sqref="F79:F85">
    <cfRule type="cellIs" dxfId="1" priority="2" stopIfTrue="1" operator="equal">
      <formula>0</formula>
    </cfRule>
  </conditionalFormatting>
  <conditionalFormatting sqref="C6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2:F51 F53:F62 F79:F85 H14:K9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43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0" t="s">
        <v>1439</v>
      </c>
      <c r="X2" s="641"/>
      <c r="Y2" s="641"/>
      <c r="Z2" s="641"/>
      <c r="AA2" s="641"/>
      <c r="AB2" s="641"/>
      <c r="AC2" s="641"/>
      <c r="AD2" s="642"/>
    </row>
    <row r="3" spans="3:30">
      <c r="C3" s="238"/>
      <c r="W3" s="643"/>
      <c r="X3" s="644"/>
      <c r="Y3" s="644"/>
      <c r="Z3" s="644"/>
      <c r="AA3" s="644"/>
      <c r="AB3" s="644"/>
      <c r="AC3" s="644"/>
      <c r="AD3" s="64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89" t="str">
        <f>PETA!C6</f>
        <v>KOORDINAT : -6.885881, 110.628964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63"/>
      <c r="Y19" s="663"/>
      <c r="Z19" s="663"/>
      <c r="AA19" s="663"/>
      <c r="AB19" s="663"/>
      <c r="AC19" s="663"/>
      <c r="AD19" s="664"/>
    </row>
    <row r="20" spans="3:30">
      <c r="C20" s="238"/>
      <c r="W20" s="648" t="s">
        <v>992</v>
      </c>
      <c r="X20" s="649"/>
      <c r="Y20" s="649"/>
      <c r="Z20" s="649"/>
      <c r="AA20" s="649"/>
      <c r="AB20" s="649"/>
      <c r="AC20" s="649"/>
      <c r="AD20" s="650"/>
    </row>
    <row r="21" spans="3:30">
      <c r="C21" s="238"/>
      <c r="W21" s="651" t="s">
        <v>985</v>
      </c>
      <c r="X21" s="652"/>
      <c r="Y21" s="652"/>
      <c r="Z21" s="653"/>
      <c r="AA21" s="654" t="s">
        <v>986</v>
      </c>
      <c r="AB21" s="655"/>
      <c r="AC21" s="655"/>
      <c r="AD21" s="656"/>
    </row>
    <row r="22" spans="3:30">
      <c r="C22" s="238"/>
      <c r="W22" s="657"/>
      <c r="X22" s="658"/>
      <c r="Y22" s="491"/>
      <c r="Z22" s="492"/>
      <c r="AA22" s="659"/>
      <c r="AB22" s="660"/>
      <c r="AC22" s="248"/>
      <c r="AD22" s="249"/>
    </row>
    <row r="23" spans="3:30">
      <c r="C23" s="238"/>
      <c r="W23" s="657"/>
      <c r="X23" s="658"/>
      <c r="Y23" s="491"/>
      <c r="Z23" s="492"/>
      <c r="AA23" s="661"/>
      <c r="AB23" s="662"/>
      <c r="AC23" s="248"/>
      <c r="AD23" s="249"/>
    </row>
    <row r="24" spans="3:30">
      <c r="C24" s="238"/>
      <c r="W24" s="667"/>
      <c r="X24" s="668"/>
      <c r="Y24" s="246"/>
      <c r="Z24" s="247"/>
      <c r="AA24" s="669"/>
      <c r="AB24" s="670"/>
      <c r="AC24" s="248"/>
      <c r="AD24" s="249"/>
    </row>
    <row r="25" spans="3:30">
      <c r="C25" s="238"/>
      <c r="W25" s="667"/>
      <c r="X25" s="668"/>
      <c r="Y25" s="246"/>
      <c r="Z25" s="247"/>
      <c r="AA25" s="661"/>
      <c r="AB25" s="662"/>
      <c r="AC25" s="248"/>
      <c r="AD25" s="249"/>
    </row>
    <row r="26" spans="3:30">
      <c r="C26" s="238"/>
      <c r="W26" s="479"/>
      <c r="X26" s="480"/>
      <c r="Y26" s="246"/>
      <c r="Z26" s="247"/>
      <c r="AA26" s="661"/>
      <c r="AB26" s="662"/>
      <c r="AC26" s="248"/>
      <c r="AD26" s="249"/>
    </row>
    <row r="27" spans="3:30">
      <c r="C27" s="238"/>
      <c r="W27" s="479"/>
      <c r="X27" s="480"/>
      <c r="Y27" s="246"/>
      <c r="Z27" s="247"/>
      <c r="AA27" s="665"/>
      <c r="AB27" s="666"/>
      <c r="AC27" s="248"/>
      <c r="AD27" s="249"/>
    </row>
    <row r="28" spans="3:30">
      <c r="C28" s="238"/>
      <c r="W28" s="479"/>
      <c r="X28" s="480"/>
      <c r="Y28" s="246"/>
      <c r="Z28" s="247"/>
      <c r="AA28" s="665"/>
      <c r="AB28" s="666"/>
      <c r="AC28" s="248"/>
      <c r="AD28" s="249"/>
    </row>
    <row r="29" spans="3:30">
      <c r="C29" s="238"/>
      <c r="W29" s="479"/>
      <c r="X29" s="480"/>
      <c r="Y29" s="246"/>
      <c r="Z29" s="247"/>
      <c r="AA29" s="665"/>
      <c r="AB29" s="666"/>
      <c r="AC29" s="248"/>
      <c r="AD29" s="249"/>
    </row>
    <row r="30" spans="3:30" ht="11.25" customHeight="1">
      <c r="C30" s="238"/>
      <c r="W30" s="481"/>
      <c r="X30" s="482"/>
      <c r="Y30" s="246"/>
      <c r="Z30" s="247"/>
      <c r="AA30" s="665"/>
      <c r="AB30" s="666"/>
      <c r="AC30" s="248"/>
      <c r="AD30" s="249"/>
    </row>
    <row r="31" spans="3:30">
      <c r="C31" s="238"/>
      <c r="U31" s="250"/>
      <c r="W31" s="479"/>
      <c r="X31" s="480"/>
      <c r="Y31" s="246"/>
      <c r="Z31" s="247"/>
      <c r="AA31" s="665"/>
      <c r="AB31" s="666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65"/>
      <c r="AB32" s="666"/>
      <c r="AC32" s="248"/>
      <c r="AD32" s="249"/>
    </row>
    <row r="33" spans="3:30">
      <c r="C33" s="238"/>
      <c r="W33" s="479"/>
      <c r="X33" s="480"/>
      <c r="Y33" s="246"/>
      <c r="Z33" s="247"/>
      <c r="AA33" s="665"/>
      <c r="AB33" s="666"/>
      <c r="AC33" s="248"/>
      <c r="AD33" s="249"/>
    </row>
    <row r="34" spans="3:30">
      <c r="C34" s="238"/>
      <c r="W34" s="479"/>
      <c r="X34" s="480"/>
      <c r="Y34" s="246"/>
      <c r="Z34" s="247"/>
      <c r="AA34" s="665"/>
      <c r="AB34" s="666"/>
      <c r="AC34" s="248"/>
      <c r="AD34" s="249"/>
    </row>
    <row r="35" spans="3:30">
      <c r="C35" s="238"/>
      <c r="W35" s="667"/>
      <c r="X35" s="680"/>
      <c r="Y35" s="246"/>
      <c r="Z35" s="247"/>
      <c r="AA35" s="665"/>
      <c r="AB35" s="666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66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78"/>
      <c r="AB39" s="679"/>
      <c r="AC39" s="252"/>
      <c r="AD39" s="253"/>
    </row>
    <row r="40" spans="3:30" ht="12" customHeight="1">
      <c r="C40" s="238"/>
      <c r="W40" s="684"/>
      <c r="X40" s="68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6"/>
      <c r="X41" s="687"/>
      <c r="Y41" s="260"/>
      <c r="Z41" s="261"/>
      <c r="AA41" s="678"/>
      <c r="AB41" s="679"/>
      <c r="AC41" s="252"/>
      <c r="AD41" s="253"/>
    </row>
    <row r="42" spans="3:30" ht="12" customHeight="1">
      <c r="C42" s="238"/>
      <c r="W42" s="688" t="s">
        <v>1456</v>
      </c>
      <c r="X42" s="689"/>
      <c r="Y42" s="689"/>
      <c r="Z42" s="68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1" t="s">
        <v>11</v>
      </c>
      <c r="X44" s="682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1" t="s">
        <v>984</v>
      </c>
      <c r="X45" s="682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1" t="s">
        <v>15</v>
      </c>
      <c r="X46" s="682"/>
      <c r="Y46" s="683"/>
      <c r="Z46" s="683"/>
      <c r="AA46" s="683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6" t="str">
        <f>RAB!G6</f>
        <v>NUR WACHID AHMAD</v>
      </c>
      <c r="X48" s="696"/>
      <c r="Y48" s="696"/>
      <c r="Z48" s="696"/>
      <c r="AA48" s="696"/>
      <c r="AB48" s="696"/>
      <c r="AC48" s="696"/>
      <c r="AD48" s="69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6"/>
      <c r="X49" s="696"/>
      <c r="Y49" s="696"/>
      <c r="Z49" s="696"/>
      <c r="AA49" s="696"/>
      <c r="AB49" s="696"/>
      <c r="AC49" s="696"/>
      <c r="AD49" s="69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6"/>
      <c r="X50" s="696"/>
      <c r="Y50" s="696"/>
      <c r="Z50" s="696"/>
      <c r="AA50" s="696"/>
      <c r="AB50" s="696"/>
      <c r="AC50" s="696"/>
      <c r="AD50" s="69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8"/>
      <c r="X51" s="698"/>
      <c r="Y51" s="698"/>
      <c r="Z51" s="698"/>
      <c r="AA51" s="698"/>
      <c r="AB51" s="698"/>
      <c r="AC51" s="698"/>
      <c r="AD51" s="69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1" t="s">
        <v>18</v>
      </c>
      <c r="X52" s="682"/>
      <c r="Y52" s="710" t="s">
        <v>1625</v>
      </c>
      <c r="Z52" s="711"/>
      <c r="AA52" s="712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1" t="s">
        <v>19</v>
      </c>
      <c r="X53" s="682"/>
      <c r="Y53" s="710" t="s">
        <v>1626</v>
      </c>
      <c r="Z53" s="711"/>
      <c r="AA53" s="712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1" t="s">
        <v>20</v>
      </c>
      <c r="X54" s="682"/>
      <c r="Y54" s="713" t="s">
        <v>1627</v>
      </c>
      <c r="Z54" s="714"/>
      <c r="AA54" s="715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1" t="s">
        <v>21</v>
      </c>
      <c r="X55" s="692"/>
      <c r="Y55" s="713" t="s">
        <v>1628</v>
      </c>
      <c r="Z55" s="714"/>
      <c r="AA55" s="715"/>
      <c r="AB55" s="690"/>
      <c r="AC55" s="690"/>
      <c r="AD55" s="693"/>
    </row>
  </sheetData>
  <mergeCells count="97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0" t="s">
        <v>1528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2"/>
      <c r="AD4" s="217"/>
      <c r="AE4" s="216"/>
      <c r="AF4" s="216"/>
    </row>
    <row r="5" spans="2:32" ht="13.5" customHeight="1">
      <c r="B5" s="215"/>
      <c r="C5" s="215"/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05"/>
      <c r="AD5" s="217"/>
      <c r="AE5" s="216"/>
      <c r="AF5" s="216"/>
    </row>
    <row r="6" spans="2:32" ht="12.75" customHeight="1">
      <c r="B6" s="215"/>
      <c r="C6" s="215"/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5"/>
      <c r="AE6" s="216"/>
      <c r="AF6" s="216"/>
    </row>
    <row r="7" spans="2:32" ht="12.75" customHeight="1" thickBot="1">
      <c r="B7" s="215"/>
      <c r="C7" s="215"/>
      <c r="D7" s="706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07"/>
      <c r="P7" s="707"/>
      <c r="Q7" s="707"/>
      <c r="R7" s="707"/>
      <c r="S7" s="707"/>
      <c r="T7" s="707"/>
      <c r="U7" s="707"/>
      <c r="V7" s="707"/>
      <c r="W7" s="707"/>
      <c r="X7" s="707"/>
      <c r="Y7" s="707"/>
      <c r="Z7" s="707"/>
      <c r="AA7" s="707"/>
      <c r="AB7" s="707"/>
      <c r="AC7" s="70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4" t="s">
        <v>1527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09" t="s">
        <v>1620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182"/>
      <c r="Y6" s="427"/>
      <c r="Z6" s="427"/>
      <c r="AA6" s="427"/>
      <c r="AB6" s="428"/>
      <c r="AC6" s="428"/>
    </row>
    <row r="7" spans="1:29" ht="18" customHeight="1">
      <c r="A7" s="181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2023-12-27T02:08:51Z</cp:lastPrinted>
  <dcterms:created xsi:type="dcterms:W3CDTF">2011-02-06T11:57:38Z</dcterms:created>
  <dcterms:modified xsi:type="dcterms:W3CDTF">2023-12-27T02:08:57Z</dcterms:modified>
</cp:coreProperties>
</file>