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GRENALDY\PASANG BARU PERLUSAN\HCPT SEDO\"/>
    </mc:Choice>
  </mc:AlternateContent>
  <xr:revisionPtr revIDLastSave="0" documentId="13_ncr:1_{430964A2-66D3-449F-BDF0-C8EDD7BAE11C}" xr6:coauthVersionLast="47" xr6:coauthVersionMax="47" xr10:uidLastSave="{00000000-0000-0000-0000-000000000000}"/>
  <bookViews>
    <workbookView xWindow="-120" yWindow="-120" windowWidth="20730" windowHeight="11310" tabRatio="859" firstSheet="1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RAB!$A$1:$K$82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</workbook>
</file>

<file path=xl/calcChain.xml><?xml version="1.0" encoding="utf-8"?>
<calcChain xmlns="http://schemas.openxmlformats.org/spreadsheetml/2006/main">
  <c r="D48" i="11" l="1"/>
  <c r="D49" i="11"/>
  <c r="D51" i="11"/>
  <c r="D52" i="11"/>
  <c r="I52" i="11" s="1"/>
  <c r="F46" i="11"/>
  <c r="F45" i="11"/>
  <c r="F44" i="11"/>
  <c r="F43" i="11"/>
  <c r="F42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2" i="11"/>
  <c r="D18" i="11"/>
  <c r="H18" i="11" s="1"/>
  <c r="E18" i="11"/>
  <c r="G18" i="11"/>
  <c r="D19" i="11"/>
  <c r="J19" i="11" s="1"/>
  <c r="E19" i="11"/>
  <c r="G19" i="11"/>
  <c r="D20" i="11"/>
  <c r="J20" i="11" s="1"/>
  <c r="E20" i="11"/>
  <c r="G20" i="11"/>
  <c r="D21" i="11"/>
  <c r="H21" i="11" s="1"/>
  <c r="E21" i="11"/>
  <c r="G21" i="11"/>
  <c r="D22" i="11"/>
  <c r="J22" i="11" s="1"/>
  <c r="E22" i="11"/>
  <c r="G22" i="11"/>
  <c r="D23" i="11"/>
  <c r="J23" i="11" s="1"/>
  <c r="E23" i="11"/>
  <c r="G23" i="11"/>
  <c r="D24" i="11"/>
  <c r="H24" i="11" s="1"/>
  <c r="E24" i="11"/>
  <c r="G24" i="11"/>
  <c r="D25" i="11"/>
  <c r="H25" i="11" s="1"/>
  <c r="E25" i="11"/>
  <c r="G25" i="11"/>
  <c r="D26" i="11"/>
  <c r="J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H33" i="11" s="1"/>
  <c r="E33" i="11"/>
  <c r="G33" i="11"/>
  <c r="D34" i="11"/>
  <c r="J34" i="11" s="1"/>
  <c r="E34" i="11"/>
  <c r="G34" i="11"/>
  <c r="D35" i="11"/>
  <c r="J35" i="11" s="1"/>
  <c r="E35" i="11"/>
  <c r="G35" i="11"/>
  <c r="D36" i="11"/>
  <c r="J36" i="11" s="1"/>
  <c r="E36" i="11"/>
  <c r="G36" i="11"/>
  <c r="D37" i="11"/>
  <c r="H37" i="11" s="1"/>
  <c r="E37" i="11"/>
  <c r="G37" i="11"/>
  <c r="D38" i="11"/>
  <c r="H38" i="11" s="1"/>
  <c r="E38" i="11"/>
  <c r="G38" i="11"/>
  <c r="D39" i="11"/>
  <c r="E39" i="11"/>
  <c r="G39" i="11"/>
  <c r="D40" i="11"/>
  <c r="J40" i="11" s="1"/>
  <c r="E40" i="11"/>
  <c r="G40" i="11"/>
  <c r="D41" i="11"/>
  <c r="H41" i="11" s="1"/>
  <c r="E41" i="11"/>
  <c r="G41" i="11"/>
  <c r="D42" i="11"/>
  <c r="H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H46" i="11" s="1"/>
  <c r="E46" i="11"/>
  <c r="G46" i="11"/>
  <c r="D47" i="11"/>
  <c r="H47" i="11" s="1"/>
  <c r="E47" i="11"/>
  <c r="G47" i="11"/>
  <c r="H48" i="11"/>
  <c r="E48" i="11"/>
  <c r="G48" i="11"/>
  <c r="F62" i="11"/>
  <c r="F61" i="11"/>
  <c r="F60" i="11"/>
  <c r="F59" i="11"/>
  <c r="F58" i="11"/>
  <c r="F57" i="11"/>
  <c r="F56" i="11"/>
  <c r="E54" i="11"/>
  <c r="E55" i="11"/>
  <c r="E56" i="11"/>
  <c r="E57" i="11"/>
  <c r="E58" i="11"/>
  <c r="E59" i="11"/>
  <c r="E60" i="11"/>
  <c r="E61" i="11"/>
  <c r="E62" i="11"/>
  <c r="D56" i="11"/>
  <c r="H56" i="11" s="1"/>
  <c r="G56" i="11"/>
  <c r="D57" i="11"/>
  <c r="H57" i="11" s="1"/>
  <c r="G57" i="11"/>
  <c r="D58" i="11"/>
  <c r="H58" i="11" s="1"/>
  <c r="G58" i="11"/>
  <c r="D59" i="11"/>
  <c r="H59" i="11" s="1"/>
  <c r="G59" i="11"/>
  <c r="D60" i="11"/>
  <c r="H60" i="11" s="1"/>
  <c r="G60" i="11"/>
  <c r="D61" i="11"/>
  <c r="H61" i="11" s="1"/>
  <c r="G61" i="11"/>
  <c r="D62" i="11"/>
  <c r="H62" i="11" s="1"/>
  <c r="G62" i="11"/>
  <c r="G50" i="11"/>
  <c r="G51" i="11"/>
  <c r="G52" i="11"/>
  <c r="G53" i="11"/>
  <c r="G54" i="11"/>
  <c r="G55" i="11"/>
  <c r="F53" i="11"/>
  <c r="F51" i="11"/>
  <c r="F50" i="11"/>
  <c r="J51" i="11"/>
  <c r="D53" i="11"/>
  <c r="H53" i="11" s="1"/>
  <c r="D54" i="11"/>
  <c r="H54" i="11" s="1"/>
  <c r="D55" i="11"/>
  <c r="J55" i="11" s="1"/>
  <c r="E51" i="11"/>
  <c r="E52" i="11"/>
  <c r="E53" i="11"/>
  <c r="D63" i="11"/>
  <c r="J63" i="11" s="1"/>
  <c r="E63" i="11"/>
  <c r="G63" i="11"/>
  <c r="I32" i="11" l="1"/>
  <c r="I20" i="11"/>
  <c r="J24" i="11"/>
  <c r="I23" i="11"/>
  <c r="I48" i="11"/>
  <c r="H26" i="11"/>
  <c r="I25" i="11"/>
  <c r="I46" i="11"/>
  <c r="J18" i="11"/>
  <c r="I34" i="11"/>
  <c r="J30" i="11"/>
  <c r="H22" i="11"/>
  <c r="I42" i="11"/>
  <c r="J39" i="11"/>
  <c r="H36" i="11"/>
  <c r="I35" i="11"/>
  <c r="J28" i="11"/>
  <c r="I26" i="11"/>
  <c r="I22" i="11"/>
  <c r="H20" i="11"/>
  <c r="I19" i="11"/>
  <c r="I38" i="11"/>
  <c r="I18" i="11"/>
  <c r="J32" i="11"/>
  <c r="I44" i="11"/>
  <c r="J48" i="11"/>
  <c r="J46" i="11"/>
  <c r="H44" i="11"/>
  <c r="I43" i="11"/>
  <c r="J42" i="11"/>
  <c r="H40" i="11"/>
  <c r="I39" i="11"/>
  <c r="J38" i="11"/>
  <c r="I36" i="11"/>
  <c r="H34" i="11"/>
  <c r="I33" i="11"/>
  <c r="I24" i="11"/>
  <c r="I30" i="11"/>
  <c r="I29" i="11"/>
  <c r="I27" i="11"/>
  <c r="I21" i="11"/>
  <c r="I40" i="11"/>
  <c r="I47" i="11"/>
  <c r="I45" i="11"/>
  <c r="I41" i="11"/>
  <c r="I37" i="11"/>
  <c r="I28" i="11"/>
  <c r="I31" i="11"/>
  <c r="J47" i="11"/>
  <c r="J45" i="11"/>
  <c r="H43" i="11"/>
  <c r="J41" i="11"/>
  <c r="H39" i="11"/>
  <c r="J37" i="11"/>
  <c r="H35" i="11"/>
  <c r="J33" i="11"/>
  <c r="H31" i="11"/>
  <c r="J29" i="11"/>
  <c r="H27" i="11"/>
  <c r="J25" i="11"/>
  <c r="H23" i="11"/>
  <c r="J21" i="11"/>
  <c r="H19" i="11"/>
  <c r="H50" i="11"/>
  <c r="J62" i="11"/>
  <c r="J61" i="11"/>
  <c r="J60" i="11"/>
  <c r="J59" i="11"/>
  <c r="J58" i="11"/>
  <c r="J57" i="11"/>
  <c r="J56" i="11"/>
  <c r="I62" i="11"/>
  <c r="I60" i="11"/>
  <c r="I58" i="11"/>
  <c r="I56" i="11"/>
  <c r="I61" i="11"/>
  <c r="I59" i="11"/>
  <c r="I57" i="11"/>
  <c r="I55" i="11"/>
  <c r="J54" i="11"/>
  <c r="H52" i="11"/>
  <c r="I51" i="11"/>
  <c r="J50" i="11"/>
  <c r="H55" i="11"/>
  <c r="I54" i="11"/>
  <c r="J53" i="11"/>
  <c r="H51" i="11"/>
  <c r="I50" i="11"/>
  <c r="I53" i="11"/>
  <c r="J52" i="11"/>
  <c r="I63" i="11"/>
  <c r="H63" i="11"/>
  <c r="K23" i="11" l="1"/>
  <c r="K30" i="11"/>
  <c r="K20" i="11"/>
  <c r="K24" i="11"/>
  <c r="K32" i="11"/>
  <c r="K42" i="11"/>
  <c r="K48" i="11"/>
  <c r="K19" i="11"/>
  <c r="K28" i="11"/>
  <c r="K18" i="11"/>
  <c r="K34" i="11"/>
  <c r="K46" i="11"/>
  <c r="K26" i="11"/>
  <c r="K31" i="11"/>
  <c r="K39" i="11"/>
  <c r="K25" i="11"/>
  <c r="K41" i="11"/>
  <c r="K44" i="11"/>
  <c r="K35" i="11"/>
  <c r="K38" i="11"/>
  <c r="K22" i="11"/>
  <c r="K36" i="11"/>
  <c r="K33" i="11"/>
  <c r="K43" i="11"/>
  <c r="K40" i="11"/>
  <c r="K29" i="11"/>
  <c r="K37" i="11"/>
  <c r="K27" i="11"/>
  <c r="K21" i="11"/>
  <c r="K45" i="11"/>
  <c r="K47" i="11"/>
  <c r="K58" i="11"/>
  <c r="K59" i="11"/>
  <c r="K50" i="11"/>
  <c r="K55" i="11"/>
  <c r="K56" i="11"/>
  <c r="K60" i="11"/>
  <c r="K53" i="11"/>
  <c r="K57" i="11"/>
  <c r="K62" i="11"/>
  <c r="K51" i="11"/>
  <c r="K61" i="11"/>
  <c r="K54" i="11"/>
  <c r="K52" i="11"/>
  <c r="K63" i="11"/>
  <c r="J49" i="11" l="1"/>
  <c r="E49" i="11"/>
  <c r="G49" i="11"/>
  <c r="E50" i="11"/>
  <c r="D64" i="11"/>
  <c r="H64" i="11" s="1"/>
  <c r="E64" i="11"/>
  <c r="G64" i="11"/>
  <c r="G16" i="11"/>
  <c r="G17" i="11"/>
  <c r="D16" i="11"/>
  <c r="H16" i="11" s="1"/>
  <c r="E16" i="11"/>
  <c r="D17" i="11"/>
  <c r="J17" i="11" s="1"/>
  <c r="E17" i="11"/>
  <c r="D14" i="11"/>
  <c r="J14" i="11" s="1"/>
  <c r="E14" i="11"/>
  <c r="G14" i="11"/>
  <c r="K19" i="60"/>
  <c r="D19" i="60"/>
  <c r="I64" i="11" l="1"/>
  <c r="I49" i="11"/>
  <c r="H49" i="11"/>
  <c r="J64" i="11"/>
  <c r="I17" i="11"/>
  <c r="H14" i="11"/>
  <c r="I14" i="11"/>
  <c r="J16" i="11"/>
  <c r="H17" i="11"/>
  <c r="I16" i="11"/>
  <c r="K49" i="11" l="1"/>
  <c r="K64" i="11"/>
  <c r="K16" i="11"/>
  <c r="K14" i="11"/>
  <c r="K17" i="11"/>
  <c r="G6" i="11" l="1"/>
  <c r="W48" i="64" s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l="1"/>
  <c r="K9" i="60"/>
  <c r="K16" i="60" s="1"/>
  <c r="D6" i="60"/>
  <c r="D9" i="60" s="1"/>
  <c r="K20" i="60" l="1"/>
  <c r="A18" i="11" l="1"/>
  <c r="A17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G15" i="11" l="1"/>
  <c r="E15" i="11"/>
  <c r="D15" i="11"/>
  <c r="A15" i="11"/>
  <c r="I15" i="11" l="1"/>
  <c r="H15" i="11"/>
  <c r="J15" i="11"/>
  <c r="D65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65" i="11"/>
  <c r="D66" i="11"/>
  <c r="H66" i="11" s="1"/>
  <c r="E66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66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73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53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65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K15" i="1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F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F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F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66" i="11"/>
  <c r="I66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E243" i="29"/>
  <c r="F234" i="29"/>
  <c r="E247" i="29"/>
  <c r="E300" i="29"/>
  <c r="F302" i="29"/>
  <c r="E311" i="29"/>
  <c r="F284" i="29"/>
  <c r="F310" i="29"/>
  <c r="F266" i="29"/>
  <c r="F314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F292" i="29"/>
  <c r="F317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315" i="29"/>
  <c r="F283" i="29"/>
  <c r="F271" i="29"/>
  <c r="F278" i="29"/>
  <c r="E252" i="29"/>
  <c r="E281" i="29"/>
  <c r="F232" i="29"/>
  <c r="F31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F224" i="29"/>
  <c r="E8" i="54"/>
  <c r="L8" i="54" s="1"/>
  <c r="M8" i="54" s="1"/>
  <c r="I9" i="54"/>
  <c r="H9" i="54"/>
  <c r="C10" i="54"/>
  <c r="D9" i="54"/>
  <c r="F290" i="29"/>
  <c r="K36" i="39"/>
  <c r="K66" i="11"/>
  <c r="F57" i="39" l="1"/>
  <c r="F61" i="39"/>
  <c r="A11" i="54"/>
  <c r="O10" i="54"/>
  <c r="F322" i="29"/>
  <c r="F343" i="29"/>
  <c r="F59" i="3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E230" i="29"/>
  <c r="F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68" i="11"/>
  <c r="H69" i="11" s="1"/>
  <c r="I68" i="11"/>
  <c r="I69" i="11" s="1"/>
  <c r="F337" i="29"/>
  <c r="F334" i="29"/>
  <c r="F330" i="29"/>
  <c r="F325" i="29"/>
  <c r="F714" i="41"/>
  <c r="F345" i="29"/>
  <c r="E336" i="29"/>
  <c r="F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F327" i="29"/>
  <c r="E338" i="29"/>
  <c r="E335" i="29"/>
  <c r="E355" i="29"/>
  <c r="F355" i="29"/>
  <c r="F340" i="29"/>
  <c r="E340" i="29"/>
  <c r="E329" i="29"/>
  <c r="E62" i="39"/>
  <c r="F65" i="39" s="1"/>
  <c r="F62" i="39"/>
  <c r="F352" i="29"/>
  <c r="E352" i="29"/>
  <c r="E9" i="54"/>
  <c r="L9" i="54" s="1"/>
  <c r="M9" i="54" s="1"/>
  <c r="I10" i="54"/>
  <c r="H10" i="54"/>
  <c r="C11" i="54"/>
  <c r="D10" i="54"/>
  <c r="F241" i="29" l="1"/>
  <c r="F287" i="29"/>
  <c r="F242" i="29"/>
  <c r="F228" i="29"/>
  <c r="F288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70" i="11"/>
  <c r="I70" i="11"/>
  <c r="F364" i="29"/>
  <c r="F69" i="39"/>
  <c r="F72" i="39"/>
  <c r="F367" i="29"/>
  <c r="J65" i="11"/>
  <c r="K65" i="11" s="1"/>
  <c r="K68" i="11" s="1"/>
  <c r="K69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68" i="11"/>
  <c r="J69" i="11" s="1"/>
  <c r="K70" i="11"/>
  <c r="B7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H16" i="39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G16" i="39"/>
  <c r="B16" i="39"/>
  <c r="E16" i="39" s="1"/>
  <c r="I16" i="39"/>
  <c r="K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70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F824" i="41"/>
  <c r="E902" i="41"/>
  <c r="E826" i="41"/>
  <c r="F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F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F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F786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K16" i="29"/>
  <c r="F731" i="41" l="1"/>
  <c r="F777" i="41"/>
  <c r="F732" i="41"/>
  <c r="F718" i="41"/>
  <c r="F778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<sst xmlns="http://schemas.openxmlformats.org/spreadsheetml/2006/main" count="4731" uniqueCount="1630">
  <si>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</si>
  <si>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</si>
  <si>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</si>
  <si>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</si>
  <si>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</si>
  <si>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</si>
  <si>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</si>
  <si>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</si>
  <si>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</si>
  <si>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</si>
  <si>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</si>
  <si>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</si>
  <si>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</si>
  <si>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</si>
  <si>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</si>
  <si>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</si>
  <si>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</si>
  <si>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</si>
  <si>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</si>
  <si>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</si>
  <si>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</si>
  <si>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</si>
  <si>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</si>
  <si>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</si>
  <si>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</si>
  <si>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</si>
  <si>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</si>
  <si>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</si>
  <si>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</si>
  <si>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</si>
  <si>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</si>
  <si>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</si>
  <si>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</si>
  <si>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</si>
  <si>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</si>
  <si>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</si>
  <si>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</si>
  <si>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</si>
  <si>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</si>
  <si>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</si>
  <si>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</si>
  <si>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</si>
  <si>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</si>
  <si>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</si>
  <si>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</si>
  <si>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</si>
  <si>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</si>
  <si>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</si>
  <si>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</si>
  <si>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</si>
  <si>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</si>
  <si>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</si>
  <si>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</si>
  <si>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</si>
  <si>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</si>
  <si>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</si>
  <si>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</si>
  <si>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</si>
  <si>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</si>
  <si>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</si>
  <si>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</si>
  <si>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</si>
  <si>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</si>
  <si>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</si>
  <si>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</si>
  <si>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</si>
  <si>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</si>
  <si>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</si>
  <si>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</si>
  <si>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</si>
  <si>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</si>
  <si>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</si>
  <si>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</si>
  <si>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</si>
  <si>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</si>
  <si>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</si>
  <si>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</si>
  <si>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</si>
  <si>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</si>
  <si>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</si>
  <si>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</si>
  <si>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</si>
  <si>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</si>
  <si>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</si>
  <si>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</si>
  <si>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</si>
  <si>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</si>
  <si>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</si>
  <si>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</si>
  <si>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</si>
  <si>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</si>
  <si>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</si>
  <si>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</si>
  <si>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</si>
  <si>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</si>
  <si>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</si>
  <si>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</si>
  <si>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</si>
  <si>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</si>
  <si>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</si>
  <si>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</si>
  <si>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</si>
  <si>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</si>
  <si>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</si>
  <si>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</si>
  <si>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</si>
  <si>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</si>
  <si>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</si>
  <si>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</si>
  <si>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</si>
  <si>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</si>
  <si>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</si>
  <si>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</si>
  <si>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</si>
  <si>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</si>
  <si>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</si>
  <si>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</si>
  <si>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</si>
  <si>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</si>
  <si>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</si>
  <si>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</si>
  <si>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</si>
  <si>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</si>
  <si>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</si>
  <si>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</si>
  <si>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</si>
  <si>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</si>
  <si>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</si>
  <si>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</si>
  <si>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</si>
  <si>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</si>
  <si>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</si>
  <si>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</si>
  <si>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</si>
  <si>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</si>
  <si>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</si>
  <si>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</si>
  <si>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</si>
  <si>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</si>
  <si>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</si>
  <si>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</si>
  <si>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</si>
  <si>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</si>
  <si>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</si>
  <si>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</si>
  <si>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</si>
  <si>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</si>
  <si>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</si>
  <si>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</si>
  <si>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</si>
  <si>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</si>
  <si>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</si>
  <si>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</si>
  <si>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</si>
  <si>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</si>
  <si>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</si>
  <si>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</si>
  <si>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</si>
  <si>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</si>
  <si>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</si>
  <si>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</si>
  <si>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</si>
  <si>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</si>
  <si>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</si>
  <si>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</si>
  <si>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</si>
  <si>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</si>
  <si>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</si>
  <si>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</si>
  <si>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</si>
  <si>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</si>
  <si>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</si>
  <si>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</si>
  <si>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</si>
  <si>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</si>
  <si>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</si>
  <si>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</si>
  <si>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</si>
  <si>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</si>
  <si>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</si>
  <si>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</si>
  <si>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</si>
  <si>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</si>
  <si>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</si>
  <si>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</si>
  <si>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</si>
  <si>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</si>
  <si>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</si>
  <si>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</si>
  <si>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</si>
  <si>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</si>
  <si>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</si>
  <si>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</si>
  <si>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</si>
  <si>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</si>
  <si>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</si>
  <si>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</si>
  <si>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</si>
  <si>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</si>
  <si>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</si>
  <si>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</si>
  <si>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</si>
  <si>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</si>
  <si>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</si>
  <si>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</si>
  <si>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</si>
  <si>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</si>
  <si>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</si>
  <si>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</si>
  <si>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</si>
  <si>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</si>
  <si>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</si>
  <si>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</si>
  <si>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</si>
  <si>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</si>
  <si>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</si>
  <si>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</si>
  <si>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</si>
  <si>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</si>
  <si>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</si>
  <si>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</si>
  <si>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</si>
  <si>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</si>
  <si>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</si>
  <si>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</si>
  <si>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</si>
  <si>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</si>
  <si>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</si>
  <si>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</si>
  <si>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</si>
  <si>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</si>
  <si>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</si>
  <si>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</si>
  <si>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</si>
  <si>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</si>
  <si>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</si>
  <si>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</si>
  <si>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</si>
  <si>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</si>
  <si>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</si>
  <si>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</si>
  <si>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</si>
  <si>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</si>
  <si>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</si>
  <si>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</si>
  <si>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</si>
  <si>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</si>
  <si>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</si>
  <si>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</si>
  <si>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</si>
  <si>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</si>
  <si>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</si>
  <si>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</si>
  <si>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</si>
  <si>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</si>
  <si>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</si>
  <si>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</si>
  <si>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</si>
  <si>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</si>
  <si>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</si>
  <si>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</si>
  <si>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</si>
  <si>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</si>
  <si>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</si>
  <si>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</si>
  <si>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</si>
  <si>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</si>
  <si>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</si>
  <si>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</si>
  <si>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</si>
  <si>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</si>
  <si>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</si>
  <si>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</si>
  <si>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</si>
  <si>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</si>
  <si>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</si>
  <si>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</si>
  <si>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</si>
  <si>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</si>
  <si>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</si>
  <si>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</si>
  <si>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</si>
  <si>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</si>
  <si>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</si>
  <si>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</si>
  <si>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</si>
  <si>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</si>
  <si>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</si>
  <si>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</si>
  <si>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</si>
  <si>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</si>
  <si>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</si>
  <si>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</si>
  <si>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</si>
  <si>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</si>
  <si>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</si>
  <si>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</si>
  <si>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</si>
  <si>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</si>
  <si>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</si>
  <si>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</si>
  <si>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</si>
  <si>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</si>
  <si>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</si>
  <si>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</si>
  <si>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</si>
  <si>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</si>
  <si>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</si>
  <si>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</si>
  <si>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</si>
  <si>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</si>
  <si>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</si>
  <si>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</si>
  <si>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</si>
  <si>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</si>
  <si>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</si>
  <si>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</si>
  <si>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</si>
  <si>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</si>
  <si>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</si>
  <si>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</si>
  <si>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</si>
  <si>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</si>
  <si>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</si>
  <si>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</si>
  <si>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</si>
  <si>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</si>
  <si>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</si>
  <si>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</si>
  <si>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</si>
  <si>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</si>
  <si>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</si>
  <si>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</si>
  <si>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</si>
  <si>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</si>
  <si>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</si>
  <si>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</si>
  <si>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</si>
  <si>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</si>
  <si>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</si>
  <si>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</si>
  <si>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</si>
  <si>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</si>
  <si>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</si>
  <si>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</si>
  <si>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</si>
  <si>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</si>
  <si>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</si>
  <si>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</si>
  <si>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</si>
  <si>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</si>
  <si>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</si>
  <si>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</si>
  <si>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</si>
  <si>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</si>
  <si>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</si>
  <si>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</si>
  <si>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</si>
  <si>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</si>
  <si>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</si>
  <si>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</si>
  <si>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</si>
  <si>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</si>
  <si>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</si>
  <si>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</si>
  <si>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</si>
  <si>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</si>
  <si>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</si>
  <si>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</si>
  <si>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</si>
  <si>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</si>
  <si>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</si>
  <si>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</si>
  <si>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</si>
  <si>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</si>
  <si>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</si>
  <si>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</si>
  <si>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</si>
  <si>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</si>
  <si>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</si>
  <si>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</si>
  <si>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</si>
  <si>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</si>
  <si>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</si>
  <si>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</si>
  <si>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</si>
  <si>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</si>
  <si>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</si>
  <si>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</si>
  <si>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</si>
  <si>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</si>
  <si>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</si>
  <si>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</si>
  <si>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</si>
  <si>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</si>
  <si>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</si>
  <si>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</si>
  <si>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</si>
  <si>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</si>
  <si>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</si>
  <si>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</si>
  <si>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</si>
  <si>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</si>
  <si>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</si>
  <si>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</si>
  <si>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</si>
  <si>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</si>
  <si>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</si>
  <si>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</si>
  <si>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</si>
  <si>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</si>
  <si>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</si>
  <si>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</si>
  <si>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</si>
  <si>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</si>
  <si>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</si>
  <si>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</si>
  <si>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</si>
  <si>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</si>
  <si>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</si>
  <si>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</si>
  <si>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</si>
  <si>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</si>
  <si>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</si>
  <si>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</si>
  <si>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</si>
  <si>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</si>
  <si>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</si>
  <si>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</si>
  <si>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</si>
  <si>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</si>
  <si>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</si>
  <si>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</si>
  <si>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</si>
  <si>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</si>
  <si>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</si>
  <si>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</si>
  <si>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</si>
  <si>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</si>
  <si>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</si>
  <si>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</si>
  <si>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</si>
  <si>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</si>
  <si>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</si>
  <si>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</si>
  <si>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</si>
  <si>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</si>
  <si>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</si>
  <si>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</si>
  <si>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</si>
  <si>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</si>
  <si>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</si>
  <si>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</si>
  <si>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</si>
  <si>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</si>
  <si>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</si>
  <si>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</si>
  <si>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</si>
  <si>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</si>
  <si>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</si>
  <si>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</si>
  <si>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</si>
  <si>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</si>
  <si>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</si>
  <si>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</si>
  <si>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</si>
  <si>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</si>
  <si>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</si>
  <si>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</si>
  <si>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</si>
  <si>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</si>
  <si>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</si>
  <si>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</si>
  <si>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</si>
  <si>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</si>
  <si>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</si>
  <si>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</si>
  <si>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</si>
  <si>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</si>
  <si>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</si>
  <si>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</si>
  <si>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</si>
  <si>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</si>
  <si>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</si>
  <si>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</si>
  <si>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</si>
  <si>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</si>
  <si>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</si>
  <si>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</si>
  <si>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</si>
  <si>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</si>
  <si>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</si>
  <si>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</si>
  <si>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</si>
  <si>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</si>
  <si>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</si>
  <si>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</si>
  <si>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</si>
  <si>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</si>
  <si>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</si>
  <si>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</si>
  <si>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</si>
  <si>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</si>
  <si>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</si>
  <si>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</si>
  <si>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</si>
  <si>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</si>
  <si>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</si>
  <si>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</si>
  <si>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</si>
  <si>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</si>
  <si>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</si>
  <si>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</si>
  <si>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</si>
  <si>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</si>
  <si>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</si>
  <si>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</si>
  <si>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</si>
  <si>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</si>
  <si>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</si>
  <si>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</si>
  <si>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</si>
  <si>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</si>
  <si>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</si>
  <si>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</si>
  <si>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</si>
  <si>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</si>
  <si>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</si>
  <si>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</si>
  <si>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</si>
  <si>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</si>
  <si>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</si>
  <si>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</si>
  <si>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</si>
  <si>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</si>
  <si>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</si>
  <si>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</si>
  <si>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</si>
  <si>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</si>
  <si>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</si>
  <si>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</si>
  <si>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</si>
  <si>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</si>
  <si>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</si>
  <si>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</si>
  <si>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</si>
  <si>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</si>
  <si>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</si>
  <si>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</si>
  <si>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</si>
  <si>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</si>
  <si>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</si>
  <si>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</si>
  <si>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</si>
  <si>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</si>
  <si>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</si>
  <si>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</si>
  <si>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</si>
  <si>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</si>
  <si>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</si>
  <si>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</si>
  <si>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</si>
  <si>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</si>
  <si>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</si>
  <si>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</si>
  <si>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</si>
  <si>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</si>
  <si>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</si>
  <si>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</si>
  <si>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</si>
  <si>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</si>
  <si>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</si>
  <si>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</si>
  <si>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</si>
  <si>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</si>
  <si>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</si>
  <si>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</si>
  <si>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</si>
  <si>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</si>
  <si>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</si>
  <si>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</si>
  <si>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</si>
  <si>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</si>
  <si>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</si>
  <si>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</si>
  <si>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</si>
  <si>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</si>
  <si>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</si>
  <si>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</si>
  <si>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</si>
  <si>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</si>
  <si>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</si>
  <si>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</si>
  <si>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</si>
  <si>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</si>
  <si>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</si>
  <si>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</si>
  <si>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</si>
  <si>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</si>
  <si>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</si>
  <si>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</si>
  <si>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</si>
  <si>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</si>
  <si>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</si>
  <si>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</si>
  <si>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</si>
  <si>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</si>
  <si>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</si>
  <si>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</si>
  <si>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</si>
  <si>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</si>
  <si>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</si>
  <si>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</si>
  <si>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</si>
  <si>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</si>
  <si>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</si>
  <si>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</si>
  <si>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</si>
  <si>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</si>
  <si>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</si>
  <si>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</si>
  <si>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</si>
  <si>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</si>
  <si>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</si>
  <si>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</si>
  <si>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</si>
  <si>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</si>
  <si>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</si>
  <si>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</si>
  <si>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</si>
  <si>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</si>
  <si>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</si>
  <si>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</si>
  <si>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</si>
  <si>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</si>
  <si>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</si>
  <si>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</si>
  <si>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</si>
  <si>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</si>
  <si>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</si>
  <si>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</si>
  <si>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</si>
  <si>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</si>
  <si>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</si>
  <si>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</si>
  <si>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</si>
  <si>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</si>
  <si>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</si>
  <si>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</si>
  <si>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</si>
  <si>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</si>
  <si>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</si>
  <si>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</si>
  <si>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</si>
  <si>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</si>
  <si>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</si>
  <si>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</si>
  <si>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</si>
  <si>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</si>
  <si>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</si>
  <si>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</si>
  <si>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</si>
  <si>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</si>
  <si>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</si>
  <si>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</si>
  <si>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</si>
  <si>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</si>
  <si>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</si>
  <si>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</si>
  <si>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</si>
  <si>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</si>
  <si>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</si>
  <si>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</si>
  <si>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</si>
  <si>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</si>
  <si>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</si>
  <si>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</si>
  <si>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</si>
  <si>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</si>
  <si>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</si>
  <si>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</si>
  <si>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</si>
  <si>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</si>
  <si>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</si>
  <si>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</si>
  <si>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</si>
  <si>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</si>
  <si>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</si>
  <si>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</si>
  <si>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</si>
  <si>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</si>
  <si>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</si>
  <si>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</si>
  <si>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</si>
  <si>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</si>
  <si>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</si>
  <si>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</si>
  <si>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</si>
  <si>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</si>
  <si>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</si>
  <si>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</si>
  <si>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</si>
  <si>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</si>
  <si>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</si>
  <si>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</si>
  <si>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</si>
  <si>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</si>
  <si>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</si>
  <si>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</si>
  <si>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</si>
  <si>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</si>
  <si>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</si>
  <si>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</si>
  <si>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</si>
  <si>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</si>
  <si>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</si>
  <si>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</si>
  <si>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</si>
  <si>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</si>
  <si>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</si>
  <si>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</si>
  <si>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</si>
  <si>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</si>
  <si>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</si>
  <si>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</si>
  <si>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</si>
  <si>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</si>
  <si>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</si>
  <si>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</si>
  <si>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</si>
  <si>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</si>
  <si>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</si>
  <si>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</si>
  <si>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</si>
  <si>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</si>
  <si>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</si>
  <si>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</si>
  <si>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</si>
  <si>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</si>
  <si>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</si>
  <si>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</si>
  <si>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</si>
  <si>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</si>
  <si>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</si>
  <si>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</si>
  <si>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</si>
  <si>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</si>
  <si>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</si>
  <si>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</si>
  <si>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</si>
  <si>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</si>
  <si>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</si>
  <si>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</si>
  <si>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</si>
  <si>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</si>
  <si>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</si>
  <si>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</si>
  <si>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</si>
  <si>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</si>
  <si>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</si>
  <si>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</si>
  <si>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</si>
  <si>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</si>
  <si>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</si>
  <si>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</si>
  <si>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</si>
  <si>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</si>
  <si>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</si>
  <si>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</si>
  <si>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</si>
  <si>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</si>
  <si>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</si>
  <si>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</si>
  <si>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</si>
  <si>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</si>
  <si>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</si>
  <si>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</si>
  <si>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</si>
  <si>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</si>
  <si>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</si>
  <si>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</si>
  <si>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</si>
  <si>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</si>
  <si>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</si>
  <si>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</si>
  <si>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</si>
  <si>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</si>
  <si>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</si>
  <si>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</si>
  <si>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</si>
  <si>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</si>
  <si>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</si>
  <si>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</si>
  <si>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</si>
  <si>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</si>
  <si>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</si>
  <si>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</si>
  <si>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</si>
  <si>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</si>
  <si>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</si>
  <si>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</si>
  <si>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</si>
  <si>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</si>
  <si>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</si>
  <si>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</si>
  <si>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</si>
  <si>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</si>
  <si>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</si>
  <si>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</si>
  <si>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</si>
  <si>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</si>
  <si>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</si>
  <si>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</si>
  <si>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</si>
  <si>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</si>
  <si>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</si>
  <si>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</si>
  <si>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</si>
  <si>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</si>
  <si>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</si>
  <si>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</si>
  <si>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</si>
  <si>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</si>
  <si>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</si>
  <si>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</si>
  <si>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</si>
  <si>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</si>
  <si>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</si>
  <si>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</si>
  <si>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</si>
  <si>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</si>
  <si>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</si>
  <si>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</si>
  <si>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</si>
  <si>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</si>
  <si>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</si>
  <si>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</si>
  <si>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</si>
  <si>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</si>
  <si>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</si>
  <si>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</si>
  <si>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</si>
  <si>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</si>
  <si>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</si>
  <si>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</si>
  <si>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</si>
  <si>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</si>
  <si>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</si>
  <si>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</si>
  <si>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</si>
  <si>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</si>
  <si>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</si>
  <si>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</si>
  <si>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</si>
  <si>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</si>
  <si>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</si>
  <si>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</si>
  <si>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</si>
  <si>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</si>
  <si>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</si>
  <si>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</si>
  <si>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</si>
  <si>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</si>
  <si>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</si>
  <si>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</si>
  <si>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</si>
  <si>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</si>
  <si>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</si>
  <si>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</si>
  <si>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</si>
  <si>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</si>
  <si>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</si>
  <si>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</si>
  <si>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</si>
  <si>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</si>
  <si>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</si>
  <si>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</si>
  <si>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</si>
  <si>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</si>
  <si>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</si>
  <si>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</si>
  <si>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</si>
  <si>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</si>
  <si>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</si>
  <si>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</si>
  <si>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</si>
  <si>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</si>
  <si>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</si>
  <si>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</si>
  <si>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</si>
  <si>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</si>
  <si>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</si>
  <si>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</si>
  <si>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</si>
  <si>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</si>
  <si>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</si>
  <si>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</si>
  <si>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</si>
  <si>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</si>
  <si>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</si>
  <si>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</si>
  <si>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</si>
  <si>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</si>
  <si>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</si>
  <si>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</si>
  <si>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</si>
  <si>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</si>
  <si>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</si>
  <si>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</si>
  <si>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</si>
  <si>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</si>
  <si>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</si>
  <si>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</si>
  <si>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</si>
  <si>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</si>
  <si>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</si>
  <si>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</si>
  <si>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</si>
  <si>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</si>
  <si>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</si>
  <si>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</si>
  <si>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</si>
  <si>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</si>
  <si>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</si>
  <si>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</si>
  <si>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</si>
  <si>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</si>
  <si>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</si>
  <si>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</si>
  <si>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</si>
  <si>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</si>
  <si>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</si>
  <si>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</si>
  <si>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</si>
  <si>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</si>
  <si>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</si>
  <si>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</si>
  <si>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</si>
  <si>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</si>
  <si>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</si>
  <si>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</si>
  <si>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</si>
  <si>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</si>
  <si>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</si>
  <si>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</si>
  <si>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</si>
  <si>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</si>
  <si>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</si>
  <si>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</si>
  <si>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</si>
  <si>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</si>
  <si>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</si>
  <si>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</si>
  <si>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</si>
  <si>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</si>
  <si>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</si>
  <si>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</si>
  <si>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</si>
  <si>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</si>
  <si>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</si>
  <si>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</si>
  <si>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</si>
  <si>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</si>
  <si>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</si>
  <si>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</si>
  <si>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</si>
  <si>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</si>
  <si>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</si>
  <si>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</si>
  <si>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</si>
  <si>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</si>
  <si>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</si>
  <si>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</si>
  <si>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</si>
  <si>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</si>
  <si>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</si>
  <si>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</si>
  <si>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</si>
  <si>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</si>
  <si>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</si>
  <si>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</si>
  <si>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</si>
  <si>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</si>
  <si>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</si>
  <si>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</si>
  <si>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</si>
  <si>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</si>
  <si>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</si>
  <si>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</si>
  <si>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</si>
  <si>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</si>
  <si>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</si>
  <si>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</si>
  <si>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</si>
  <si>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</si>
  <si>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</si>
  <si>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</si>
  <si>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</si>
  <si>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</si>
  <si>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</si>
  <si>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</si>
  <si>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</si>
  <si>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</si>
  <si>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</si>
  <si>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</si>
  <si>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</si>
  <si>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</si>
  <si>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</si>
  <si>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</si>
  <si>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</si>
  <si>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</si>
  <si>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</si>
  <si>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</si>
  <si>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</si>
  <si>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</si>
  <si>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</si>
  <si>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</si>
  <si>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</si>
  <si>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</si>
  <si>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</si>
  <si>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</si>
  <si>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</si>
  <si>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</si>
  <si>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</si>
  <si>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</si>
  <si>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</si>
  <si>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</si>
  <si>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</si>
  <si>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</si>
  <si>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</si>
  <si>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</si>
  <si>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</si>
  <si>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</si>
  <si>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</si>
  <si>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</si>
  <si>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</si>
  <si>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</si>
  <si>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</si>
  <si>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</si>
  <si>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</si>
  <si>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</si>
  <si>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</si>
  <si>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</si>
  <si>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</si>
  <si>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</si>
  <si>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</si>
  <si>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</si>
  <si>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</si>
  <si>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</si>
  <si>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</si>
  <si>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</si>
  <si>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</si>
  <si>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</si>
  <si>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</si>
  <si>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</si>
  <si>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</si>
  <si>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</si>
  <si>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</si>
  <si>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</si>
  <si>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</si>
  <si>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</si>
  <si>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</si>
  <si>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</si>
  <si>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</si>
  <si>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</si>
  <si>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</si>
  <si>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</si>
  <si>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</si>
  <si>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</si>
  <si>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</si>
  <si>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</si>
  <si>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</si>
  <si>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</si>
  <si>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</si>
  <si>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</si>
  <si>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</si>
  <si>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</si>
  <si>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</si>
  <si>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</si>
  <si>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</si>
  <si>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</si>
  <si>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</si>
  <si>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</si>
  <si>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</si>
  <si>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</si>
  <si>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</si>
  <si>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</si>
  <si>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</si>
  <si>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</si>
  <si>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</si>
  <si>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</si>
  <si>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</si>
  <si>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</si>
  <si>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</si>
  <si>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</si>
  <si>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</si>
  <si>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</si>
  <si>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</si>
  <si>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</si>
  <si>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</si>
  <si>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</si>
  <si>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</si>
  <si>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</si>
  <si>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</si>
  <si>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</si>
  <si>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</si>
  <si>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</si>
  <si>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</si>
  <si>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</si>
  <si>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</si>
  <si>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</si>
  <si>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</si>
  <si>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</si>
  <si>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</si>
  <si>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</si>
  <si>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</si>
  <si>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</si>
  <si>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</si>
  <si>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</si>
  <si>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</si>
  <si>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</si>
  <si>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</si>
  <si>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</si>
  <si>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</si>
  <si>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</si>
  <si>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</si>
  <si>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</si>
  <si>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</si>
  <si>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</si>
  <si>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</si>
  <si>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</si>
  <si>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</si>
  <si>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</si>
  <si>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</si>
  <si>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</si>
  <si>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</si>
  <si>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</si>
  <si>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</si>
  <si>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</si>
  <si>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</si>
  <si>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</si>
  <si>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</si>
  <si>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</si>
  <si>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</si>
  <si>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</si>
  <si>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</si>
  <si>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</si>
  <si>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</si>
  <si>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</si>
  <si>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</si>
  <si>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</si>
  <si>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</si>
  <si>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</si>
  <si>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</si>
  <si>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</si>
  <si>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</si>
  <si>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</si>
  <si>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</si>
  <si>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</si>
  <si>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</si>
  <si>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</si>
  <si>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</si>
  <si>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</si>
  <si>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</si>
  <si>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</si>
  <si>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</si>
  <si>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</si>
  <si>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</si>
  <si>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</si>
  <si>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</si>
  <si>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</si>
  <si>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</si>
  <si>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</si>
  <si>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</si>
  <si>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</si>
  <si>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</si>
  <si>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</si>
  <si>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</si>
  <si>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</si>
  <si>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</si>
  <si>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</si>
  <si>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</si>
  <si>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</si>
  <si>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</si>
  <si>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</si>
  <si>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</si>
  <si>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</si>
  <si>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</si>
  <si>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</si>
  <si>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</si>
  <si>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</si>
  <si>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</si>
  <si>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</si>
  <si>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</si>
  <si>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</si>
  <si>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</si>
  <si>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</si>
  <si>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</si>
  <si>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</si>
  <si>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</si>
  <si>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</si>
  <si>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</si>
  <si>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</si>
  <si>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</si>
  <si>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</si>
  <si>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</si>
  <si>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</si>
  <si>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</si>
  <si>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</si>
  <si>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</si>
  <si>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</si>
  <si>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</si>
  <si>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</si>
  <si>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</si>
  <si>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</si>
  <si>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</si>
  <si>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</si>
  <si>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</si>
  <si>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</si>
  <si>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</si>
  <si>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</si>
  <si>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</si>
  <si>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</si>
  <si>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</si>
  <si>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</si>
  <si>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</si>
  <si>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</si>
  <si>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</si>
  <si>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</si>
  <si>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</si>
  <si>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</si>
  <si>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</si>
  <si>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</si>
  <si>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</si>
  <si>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</si>
  <si>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</si>
  <si>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</si>
  <si>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</si>
  <si>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</si>
  <si>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</si>
  <si>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</si>
  <si>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</si>
  <si>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</si>
  <si>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</si>
  <si>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</si>
  <si>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</si>
  <si>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</si>
  <si>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</si>
  <si>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</si>
  <si>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</si>
  <si>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</si>
  <si>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</si>
  <si>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</si>
  <si>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</si>
  <si>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</si>
  <si>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</si>
  <si>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</si>
  <si>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</si>
  <si>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</si>
  <si>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</si>
  <si>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</si>
  <si>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</si>
  <si>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</si>
  <si>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</si>
  <si>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</si>
  <si>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</si>
  <si>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</si>
  <si>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</si>
  <si>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</si>
  <si>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</si>
  <si>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</si>
  <si>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</si>
  <si>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</si>
  <si>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</si>
  <si>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</si>
  <si>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</si>
  <si>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</si>
  <si>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</si>
  <si>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</si>
  <si>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</si>
  <si>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</si>
  <si>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</si>
  <si>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</si>
  <si>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</si>
  <si>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</si>
  <si>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</si>
  <si>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</si>
  <si>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</si>
  <si>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</si>
  <si>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</si>
  <si>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</si>
  <si>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</si>
  <si>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</si>
  <si>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</si>
  <si>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</si>
  <si>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</si>
  <si>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</si>
  <si>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</si>
  <si>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</si>
  <si>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</si>
  <si>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</si>
  <si>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</si>
  <si>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</si>
  <si>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</si>
  <si>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</si>
  <si>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</si>
  <si>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</si>
  <si>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</si>
  <si>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</si>
  <si>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</si>
  <si>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</si>
  <si>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</si>
  <si>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</si>
  <si>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</si>
  <si>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</si>
  <si>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</si>
  <si>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</si>
  <si>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</si>
  <si>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</si>
  <si>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</si>
  <si>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</si>
  <si>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</si>
  <si>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</si>
  <si>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</si>
  <si>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</si>
  <si>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</si>
  <si>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</si>
  <si>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</si>
  <si>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</si>
  <si>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</si>
  <si>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</si>
  <si>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</si>
  <si>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</si>
  <si>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</si>
  <si>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</si>
  <si>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</si>
  <si>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</si>
  <si>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</si>
  <si>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</si>
  <si>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</si>
  <si>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</si>
  <si>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</si>
  <si>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</si>
  <si>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</si>
  <si>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</si>
  <si>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</si>
  <si>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</si>
  <si>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</si>
  <si>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</si>
  <si>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</si>
  <si>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</si>
  <si>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</si>
  <si>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</si>
  <si>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</si>
  <si>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</si>
  <si>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</si>
  <si>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</si>
  <si>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</si>
  <si>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</si>
  <si>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</si>
  <si>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</si>
  <si>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</si>
  <si>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</si>
  <si>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</si>
  <si>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</si>
  <si>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</si>
  <si>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</si>
  <si>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</si>
  <si>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</si>
  <si>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</si>
  <si>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</si>
  <si>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</si>
  <si>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</si>
  <si>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</si>
  <si>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</si>
  <si>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</si>
  <si>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</si>
  <si>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</si>
  <si>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</si>
  <si>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</si>
  <si>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</si>
  <si>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</si>
  <si>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</si>
  <si>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</si>
  <si>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</si>
  <si>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</si>
  <si>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</si>
  <si>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</si>
  <si>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</si>
  <si>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</si>
  <si>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</si>
  <si>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</si>
  <si>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</si>
  <si>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</si>
  <si>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</si>
  <si>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</si>
  <si>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</si>
  <si>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</si>
  <si>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</si>
  <si>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</si>
  <si>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</si>
  <si>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</si>
  <si>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</si>
  <si>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</si>
  <si>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</si>
  <si>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</si>
  <si>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</si>
  <si>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</si>
  <si>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</si>
  <si>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</si>
  <si>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</si>
  <si>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</si>
  <si>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</si>
  <si>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</si>
  <si>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</si>
  <si>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</si>
  <si>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</si>
  <si>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</si>
  <si>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</si>
  <si>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</si>
  <si>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</si>
  <si>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</si>
  <si>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</si>
  <si>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</si>
  <si>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</si>
  <si>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</si>
  <si>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</si>
  <si>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</si>
  <si>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</si>
  <si>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</si>
  <si>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</si>
  <si>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</si>
  <si>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</si>
  <si>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</si>
  <si>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</si>
  <si>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</si>
  <si>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</si>
  <si>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</si>
  <si>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</si>
  <si>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</si>
  <si>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</si>
  <si>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</si>
  <si>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</si>
  <si>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</si>
  <si>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</si>
  <si>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</si>
  <si>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</si>
  <si>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</si>
  <si>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</si>
  <si>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</si>
  <si>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</si>
  <si>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</si>
  <si>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</si>
  <si>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</si>
  <si>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</si>
  <si>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</si>
  <si>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</si>
  <si>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PEMBANGUNAN JARINGAN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</si>
  <si>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</si>
  <si>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</si>
  <si>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</si>
  <si>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</si>
  <si>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</si>
  <si>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</si>
  <si>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</si>
  <si>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</si>
  <si>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</si>
  <si>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</si>
  <si>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</si>
  <si>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</si>
  <si>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</si>
  <si>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</si>
  <si>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</si>
  <si>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</si>
  <si>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</si>
  <si>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</si>
  <si>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</si>
  <si>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</si>
  <si>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</si>
  <si>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</si>
  <si>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</si>
  <si>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</si>
  <si>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</si>
  <si>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</si>
  <si>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</si>
  <si>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</si>
  <si>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</si>
  <si>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</si>
  <si>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</si>
  <si>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</si>
  <si>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</si>
  <si>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</si>
  <si>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</si>
  <si>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</si>
  <si>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</si>
  <si>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</si>
  <si>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</si>
  <si>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</si>
  <si>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</si>
  <si>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</si>
  <si>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</si>
  <si>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</si>
  <si>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</si>
  <si>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</si>
  <si>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</si>
  <si>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</si>
  <si>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</si>
  <si>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</si>
  <si>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</si>
  <si>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</si>
  <si>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</si>
  <si>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</si>
  <si>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</si>
  <si>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</si>
  <si>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</si>
  <si>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</si>
  <si>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</si>
  <si>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</si>
  <si>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</si>
  <si>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</si>
  <si>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</si>
  <si>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</si>
  <si>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</si>
  <si>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</si>
  <si>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</si>
  <si>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</si>
  <si>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</si>
  <si>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</si>
  <si>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</si>
  <si>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</si>
  <si>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</si>
  <si>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</si>
  <si>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</si>
  <si>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</si>
  <si>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</si>
  <si>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</si>
  <si>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</si>
  <si>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</si>
  <si>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</si>
  <si>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</si>
  <si>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</si>
  <si>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</si>
  <si>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</si>
  <si>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</si>
  <si>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</si>
  <si>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</si>
  <si>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</si>
  <si>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</si>
  <si>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</si>
  <si>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</si>
  <si>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</si>
  <si>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</si>
  <si>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</si>
  <si>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</si>
  <si>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</si>
  <si>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</si>
  <si>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</si>
  <si>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</si>
  <si>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</si>
  <si>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</si>
  <si>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</si>
  <si>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</si>
  <si>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</si>
  <si>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</si>
  <si>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</si>
  <si>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</si>
  <si>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</si>
  <si>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</si>
  <si>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</si>
  <si>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</si>
  <si>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</si>
  <si>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</si>
  <si>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</si>
  <si>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</si>
  <si>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</si>
  <si>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</si>
  <si>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</si>
  <si>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</si>
  <si>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</si>
  <si>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</si>
  <si>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</si>
  <si>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</si>
  <si>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</si>
  <si>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</si>
  <si>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</si>
  <si>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</si>
  <si>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</si>
  <si>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</si>
  <si>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</si>
  <si>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</si>
  <si>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</si>
  <si>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</si>
  <si>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</si>
  <si>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</si>
  <si>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</si>
  <si>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</si>
  <si>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</si>
  <si>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</si>
  <si>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</si>
  <si>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</si>
  <si>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</si>
  <si>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</si>
  <si>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</si>
  <si>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</si>
  <si>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</si>
  <si>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</si>
  <si>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</si>
  <si>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</si>
  <si>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</si>
  <si>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</si>
  <si>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</si>
  <si>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</si>
  <si>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</si>
  <si>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KOORDINAT : -6.897822, 110.525191</t>
  </si>
  <si>
    <t xml:space="preserve">KOORDINAT : </t>
  </si>
  <si>
    <t>B2</t>
  </si>
  <si>
    <t>Pemasangan APP Di Tiang</t>
  </si>
  <si>
    <t>Daya 10.600 VA</t>
  </si>
  <si>
    <t>PB XL-JAW-JT-PWD-4024 GENTING SEDO</t>
  </si>
  <si>
    <t>SEDO, DEMAK</t>
  </si>
  <si>
    <t>ATB</t>
  </si>
  <si>
    <t>PEMASANGAN PHBTR</t>
  </si>
  <si>
    <t>LVCB 2 Jurusan Untuk 1 Tiang (M8-A1)</t>
  </si>
  <si>
    <t>Sepatu Kabel CU/CU-70 mm²</t>
  </si>
  <si>
    <t>CM2-11</t>
  </si>
  <si>
    <t xml:space="preserve">Demak, 17 Oktober 2023 </t>
  </si>
  <si>
    <t xml:space="preserve">Manager ULP </t>
  </si>
  <si>
    <t>ACHMAD SUHENDRO</t>
  </si>
  <si>
    <t xml:space="preserve">Staf Teknik </t>
  </si>
  <si>
    <t xml:space="preserve">TL Teknik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</si>
</sst>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3630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60" fillId="0" borderId="0" applyFont="0" applyFill="0" applyBorder="0" applyAlignment="0" applyProtection="0"/>
    <xf numFmtId="41" fontId="172" fillId="0" borderId="0" applyFont="0" applyFill="0" applyBorder="0" applyAlignment="0" applyProtection="0"/>
    <xf numFmtId="0" fontId="19" fillId="0" borderId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5" borderId="0" applyNumberFormat="0" applyBorder="0" applyAlignment="0" applyProtection="0"/>
    <xf numFmtId="0" fontId="13" fillId="8" borderId="0" applyNumberFormat="0" applyBorder="0" applyAlignment="0" applyProtection="0"/>
    <xf numFmtId="0" fontId="13" fillId="11" borderId="0" applyNumberFormat="0" applyBorder="0" applyAlignment="0" applyProtection="0"/>
    <xf numFmtId="0" fontId="30" fillId="7" borderId="102" applyNumberFormat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" fillId="0" borderId="0"/>
    <xf numFmtId="41" fontId="19" fillId="0" borderId="0" applyFont="0" applyFill="0" applyBorder="0" applyAlignment="0" applyProtection="0"/>
    <xf numFmtId="0" fontId="3" fillId="0" borderId="0"/>
    <xf numFmtId="43" fontId="19" fillId="0" borderId="0" applyFont="0" applyFill="0" applyBorder="0" applyAlignment="0" applyProtection="0"/>
    <xf numFmtId="0" fontId="23" fillId="20" borderId="102" applyNumberFormat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6" fillId="23" borderId="106"/>
    <xf numFmtId="0" fontId="76" fillId="0" borderId="106"/>
    <xf numFmtId="0" fontId="71" fillId="0" borderId="106"/>
    <xf numFmtId="0" fontId="71" fillId="0" borderId="106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7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0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0" borderId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0" borderId="0"/>
    <xf numFmtId="0" fontId="23" fillId="20" borderId="102" applyNumberFormat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" fillId="0" borderId="0"/>
    <xf numFmtId="0" fontId="13" fillId="0" borderId="0"/>
    <xf numFmtId="0" fontId="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09" fillId="0" borderId="0" applyFont="0" applyFill="0" applyBorder="0" applyAlignment="0" applyProtection="0"/>
    <xf numFmtId="0" fontId="85" fillId="0" borderId="100"/>
    <xf numFmtId="0" fontId="86" fillId="0" borderId="101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43" fontId="19" fillId="0" borderId="0" applyFont="0" applyFill="0" applyBorder="0" applyAlignment="0" applyProtection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</cellStyleXfs>
  <cellXfs count="714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0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9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6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8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167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9" fillId="0" borderId="20" xfId="1615" applyFont="1" applyBorder="1" applyAlignment="1">
      <alignment horizontal="center" vertical="center"/>
    </xf>
    <xf numFmtId="0" fontId="149" fillId="0" borderId="21" xfId="1615" applyFont="1" applyBorder="1" applyAlignment="1">
      <alignment horizontal="left" vertical="center" wrapText="1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49" fillId="0" borderId="20" xfId="1653" applyFont="1" applyBorder="1" applyAlignment="1">
      <alignment horizontal="center" vertical="center"/>
    </xf>
    <xf numFmtId="0" fontId="149" fillId="0" borderId="21" xfId="1451" applyFont="1" applyBorder="1" applyAlignment="1">
      <alignment horizontal="left" vertical="center" wrapText="1"/>
    </xf>
    <xf numFmtId="0" fontId="150" fillId="0" borderId="21" xfId="1653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55" fillId="0" borderId="21" xfId="1615" applyFont="1" applyBorder="1" applyAlignment="1">
      <alignment horizontal="center" vertical="center"/>
    </xf>
    <xf numFmtId="0" fontId="154" fillId="0" borderId="20" xfId="1653" applyFont="1" applyBorder="1" applyAlignment="1">
      <alignment horizontal="center" vertical="center"/>
    </xf>
    <xf numFmtId="0" fontId="154" fillId="0" borderId="21" xfId="1653" applyFont="1" applyBorder="1" applyAlignment="1">
      <alignment vertical="center" wrapText="1"/>
    </xf>
    <xf numFmtId="0" fontId="150" fillId="0" borderId="20" xfId="1653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0" fontId="150" fillId="0" borderId="21" xfId="1652" applyFont="1" applyBorder="1" applyAlignment="1">
      <alignment vertical="center" wrapText="1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0" fillId="0" borderId="21" xfId="1652" applyFont="1" applyBorder="1" applyAlignment="1">
      <alignment horizontal="left" vertical="center" wrapText="1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7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3" fontId="148" fillId="0" borderId="39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37" fontId="148" fillId="0" borderId="0" xfId="1614" applyNumberFormat="1" applyFont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0" xfId="1614" applyNumberFormat="1" applyFont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47" fillId="0" borderId="0" xfId="1614" applyFont="1" applyAlignment="1">
      <alignment horizontal="center" vertic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165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167" fontId="139" fillId="40" borderId="85" xfId="2672" applyFont="1" applyFill="1" applyBorder="1" applyAlignment="1" applyProtection="1">
      <alignment horizontal="right" vertical="center" wrapText="1"/>
      <protection locked="0"/>
    </xf>
    <xf numFmtId="167" fontId="139" fillId="40" borderId="87" xfId="2672" applyFont="1" applyFill="1" applyBorder="1" applyAlignment="1" applyProtection="1">
      <alignment horizontal="right" vertical="center"/>
      <protection locked="0"/>
    </xf>
    <xf numFmtId="169" fontId="139" fillId="40" borderId="87" xfId="2672" applyNumberFormat="1" applyFont="1" applyFill="1" applyBorder="1" applyAlignment="1" applyProtection="1">
      <alignment horizontal="right" vertical="center"/>
      <protection locked="0"/>
    </xf>
    <xf numFmtId="169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8" fillId="0" borderId="21" xfId="1614" applyFont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 wrapText="1"/>
    </xf>
    <xf numFmtId="49" fontId="90" fillId="33" borderId="61" xfId="0" applyNumberFormat="1" applyFont="1" applyFill="1" applyBorder="1" applyAlignment="1">
      <alignment horizontal="left" vertical="center"/>
    </xf>
    <xf numFmtId="41" fontId="151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9" fontId="143" fillId="47" borderId="0" xfId="2672" applyNumberFormat="1" applyFont="1" applyFill="1" applyBorder="1" applyAlignment="1" applyProtection="1">
      <alignment horizontal="right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173" fillId="0" borderId="69" xfId="1450" applyFont="1" applyBorder="1" applyAlignment="1">
      <alignment horizontal="center" vertical="center"/>
    </xf>
    <xf numFmtId="0" fontId="173" fillId="0" borderId="99" xfId="1450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2" fillId="0" borderId="21" xfId="1450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7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43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0" fontId="165" fillId="44" borderId="3" xfId="2673" applyFont="1" applyFill="1" applyBorder="1" applyAlignment="1">
      <alignment horizontal="center" vertical="center" wrapText="1"/>
    </xf>
    <xf numFmtId="0" fontId="165" fillId="44" borderId="39" xfId="2673" applyFont="1" applyFill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2" fontId="133" fillId="45" borderId="3" xfId="2673" applyNumberFormat="1" applyFont="1" applyFill="1" applyBorder="1" applyAlignment="1">
      <alignment horizontal="center" vertical="center" wrapText="1"/>
    </xf>
    <xf numFmtId="2" fontId="133" fillId="45" borderId="39" xfId="2673" applyNumberFormat="1" applyFont="1" applyFill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6" fillId="0" borderId="96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43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43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0" fontId="7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54" fillId="35" borderId="3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0" fontId="113" fillId="33" borderId="64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3" fillId="33" borderId="0" xfId="0" applyFont="1" applyFill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0" fontId="113" fillId="33" borderId="44" xfId="0" applyFont="1" applyFill="1" applyBorder="1" applyAlignment="1">
      <alignment horizontal="center" vertical="center" wrapText="1"/>
    </xf>
    <xf numFmtId="0" fontId="113" fillId="33" borderId="45" xfId="0" applyFont="1" applyFill="1" applyBorder="1" applyAlignment="1">
      <alignment horizontal="center" vertical="center" wrapText="1"/>
    </xf>
    <xf numFmtId="15" fontId="113" fillId="33" borderId="3" xfId="0" applyNumberFormat="1" applyFont="1" applyFill="1" applyBorder="1" applyAlignment="1">
      <alignment horizontal="center"/>
    </xf>
    <xf numFmtId="0" fontId="90" fillId="33" borderId="59" xfId="0" applyFont="1" applyFill="1" applyBorder="1" applyAlignment="1">
      <alignment horizontal="center" vertical="center"/>
    </xf>
    <xf numFmtId="0" fontId="90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0" fontId="90" fillId="33" borderId="80" xfId="0" applyFont="1" applyFill="1" applyBorder="1" applyAlignment="1">
      <alignment horizontal="center" vertical="center"/>
    </xf>
    <xf numFmtId="0" fontId="90" fillId="33" borderId="81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49" fontId="113" fillId="33" borderId="50" xfId="0" applyNumberFormat="1" applyFont="1" applyFill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0" fontId="90" fillId="33" borderId="79" xfId="0" applyFont="1" applyFill="1" applyBorder="1" applyAlignment="1">
      <alignment horizontal="left" vertical="center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208" fontId="173" fillId="0" borderId="73" xfId="1450" applyNumberFormat="1" applyFont="1" applyBorder="1" applyAlignment="1">
      <alignment horizontal="left" vertical="center"/>
    </xf>
    <xf numFmtId="208" fontId="173" fillId="0" borderId="74" xfId="1450" applyNumberFormat="1" applyFont="1" applyBorder="1" applyAlignment="1">
      <alignment horizontal="left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159" fillId="0" borderId="0" xfId="1451" applyFont="1" applyAlignment="1">
      <alignment horizontal="left"/>
    </xf>
  </cellXfs>
  <cellStyles count="3630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702" xr:uid="{97E76982-65E6-4AF4-AB88-E3CDDD4B0795}"/>
    <cellStyle name="20% - Accent1 11" xfId="4" xr:uid="{00000000-0005-0000-0000-000003000000}"/>
    <cellStyle name="20% - Accent1 11 2" xfId="2703" xr:uid="{38CB0583-4232-4960-887D-336217DCE2CC}"/>
    <cellStyle name="20% - Accent1 12" xfId="5" xr:uid="{00000000-0005-0000-0000-000004000000}"/>
    <cellStyle name="20% - Accent1 12 2" xfId="2704" xr:uid="{08CA75A6-848F-4B77-8652-D294676212F9}"/>
    <cellStyle name="20% - Accent1 13" xfId="6" xr:uid="{00000000-0005-0000-0000-000005000000}"/>
    <cellStyle name="20% - Accent1 13 2" xfId="2705" xr:uid="{B861002C-1D31-48F9-A22B-B39A70B61FC9}"/>
    <cellStyle name="20% - Accent1 14" xfId="7" xr:uid="{00000000-0005-0000-0000-000006000000}"/>
    <cellStyle name="20% - Accent1 14 2" xfId="2706" xr:uid="{31BB8E20-7F78-4B53-92FE-411B1105FAB6}"/>
    <cellStyle name="20% - Accent1 15" xfId="8" xr:uid="{00000000-0005-0000-0000-000007000000}"/>
    <cellStyle name="20% - Accent1 15 2" xfId="2707" xr:uid="{895F3B3C-A880-41B6-B598-3110B5EAB052}"/>
    <cellStyle name="20% - Accent1 16" xfId="9" xr:uid="{00000000-0005-0000-0000-000008000000}"/>
    <cellStyle name="20% - Accent1 16 2" xfId="2708" xr:uid="{AE079BDE-2826-4F58-B9BE-111467F1E2B2}"/>
    <cellStyle name="20% - Accent1 17" xfId="2678" xr:uid="{2C5E1882-1946-4479-95FF-A37DF6853F59}"/>
    <cellStyle name="20% - Accent1 2" xfId="10" xr:uid="{00000000-0005-0000-0000-000009000000}"/>
    <cellStyle name="20% - Accent1 2 2" xfId="11" xr:uid="{00000000-0005-0000-0000-00000A000000}"/>
    <cellStyle name="20% - Accent1 2 2 2" xfId="2710" xr:uid="{19E7F129-BC7C-4183-A69C-8755A37B5D20}"/>
    <cellStyle name="20% - Accent1 2 3" xfId="12" xr:uid="{00000000-0005-0000-0000-00000B000000}"/>
    <cellStyle name="20% - Accent1 2 3 2" xfId="2711" xr:uid="{4E540FFE-3471-4623-B536-C0A6BF1A8520}"/>
    <cellStyle name="20% - Accent1 2 4" xfId="2709" xr:uid="{BF917F0C-854F-4469-A865-813BD7932FA6}"/>
    <cellStyle name="20% - Accent1 3" xfId="13" xr:uid="{00000000-0005-0000-0000-00000C000000}"/>
    <cellStyle name="20% - Accent1 3 2" xfId="2712" xr:uid="{C6A519A3-384C-4DA7-AFCC-9D8E95980F6F}"/>
    <cellStyle name="20% - Accent1 4" xfId="14" xr:uid="{00000000-0005-0000-0000-00000D000000}"/>
    <cellStyle name="20% - Accent1 4 2" xfId="2713" xr:uid="{50DFB2CD-E87B-47C9-89F1-CE3686008295}"/>
    <cellStyle name="20% - Accent1 5" xfId="15" xr:uid="{00000000-0005-0000-0000-00000E000000}"/>
    <cellStyle name="20% - Accent1 5 2" xfId="2714" xr:uid="{63F88136-BD65-4A8C-B789-E67A9A4E4A33}"/>
    <cellStyle name="20% - Accent1 6" xfId="16" xr:uid="{00000000-0005-0000-0000-00000F000000}"/>
    <cellStyle name="20% - Accent1 6 2" xfId="2715" xr:uid="{6EDEB4E3-C717-4647-B65B-D62520227E8F}"/>
    <cellStyle name="20% - Accent1 7" xfId="17" xr:uid="{00000000-0005-0000-0000-000010000000}"/>
    <cellStyle name="20% - Accent1 7 2" xfId="2716" xr:uid="{5B8C6619-DA26-42B2-BEB8-2AE3A56FE09B}"/>
    <cellStyle name="20% - Accent1 8" xfId="18" xr:uid="{00000000-0005-0000-0000-000011000000}"/>
    <cellStyle name="20% - Accent1 8 2" xfId="2717" xr:uid="{B1FDE0E8-7996-4714-8B3E-627F693B43DB}"/>
    <cellStyle name="20% - Accent1 9" xfId="19" xr:uid="{00000000-0005-0000-0000-000012000000}"/>
    <cellStyle name="20% - Accent1 9 2" xfId="2718" xr:uid="{0D111B19-3CD4-4264-8B45-B761E85D4308}"/>
    <cellStyle name="20% - Accent2" xfId="20" builtinId="34" customBuiltin="1"/>
    <cellStyle name="20% - Accent2 10" xfId="21" xr:uid="{00000000-0005-0000-0000-000014000000}"/>
    <cellStyle name="20% - Accent2 10 2" xfId="2719" xr:uid="{226CD18C-778B-47D3-B55E-6D510A973863}"/>
    <cellStyle name="20% - Accent2 11" xfId="22" xr:uid="{00000000-0005-0000-0000-000015000000}"/>
    <cellStyle name="20% - Accent2 11 2" xfId="2720" xr:uid="{917ADCAE-A39B-4165-B596-DCDE93A3DF12}"/>
    <cellStyle name="20% - Accent2 12" xfId="23" xr:uid="{00000000-0005-0000-0000-000016000000}"/>
    <cellStyle name="20% - Accent2 12 2" xfId="2721" xr:uid="{87BF6716-D287-4F90-8CBD-FFC94B6C3A46}"/>
    <cellStyle name="20% - Accent2 13" xfId="24" xr:uid="{00000000-0005-0000-0000-000017000000}"/>
    <cellStyle name="20% - Accent2 13 2" xfId="2722" xr:uid="{B48329D4-DB4E-4251-910E-F759F63199F1}"/>
    <cellStyle name="20% - Accent2 14" xfId="25" xr:uid="{00000000-0005-0000-0000-000018000000}"/>
    <cellStyle name="20% - Accent2 14 2" xfId="2723" xr:uid="{D1E23A23-4C66-4766-A887-E8FCF2FA741D}"/>
    <cellStyle name="20% - Accent2 15" xfId="26" xr:uid="{00000000-0005-0000-0000-000019000000}"/>
    <cellStyle name="20% - Accent2 15 2" xfId="2724" xr:uid="{6AC54138-7179-4A05-893E-A1AC26F21A16}"/>
    <cellStyle name="20% - Accent2 16" xfId="27" xr:uid="{00000000-0005-0000-0000-00001A000000}"/>
    <cellStyle name="20% - Accent2 16 2" xfId="2725" xr:uid="{51B3D174-1C0F-4D10-8905-8C32DC63F3CA}"/>
    <cellStyle name="20% - Accent2 17" xfId="2679" xr:uid="{30F03859-6C3D-44A9-B3DF-0EB9F825F3CD}"/>
    <cellStyle name="20% - Accent2 2" xfId="28" xr:uid="{00000000-0005-0000-0000-00001B000000}"/>
    <cellStyle name="20% - Accent2 2 2" xfId="29" xr:uid="{00000000-0005-0000-0000-00001C000000}"/>
    <cellStyle name="20% - Accent2 2 2 2" xfId="2727" xr:uid="{28451B95-4792-4B19-94AA-BF6C3F0B81AA}"/>
    <cellStyle name="20% - Accent2 2 3" xfId="30" xr:uid="{00000000-0005-0000-0000-00001D000000}"/>
    <cellStyle name="20% - Accent2 2 3 2" xfId="2728" xr:uid="{FA18F622-CBC6-4E73-AEE3-1FB0DD499BDF}"/>
    <cellStyle name="20% - Accent2 2 4" xfId="2726" xr:uid="{19E0971B-D3FC-43E0-B612-48733693595F}"/>
    <cellStyle name="20% - Accent2 3" xfId="31" xr:uid="{00000000-0005-0000-0000-00001E000000}"/>
    <cellStyle name="20% - Accent2 3 2" xfId="2729" xr:uid="{D9A3F666-050C-42C8-97D3-911E7A0DB6EF}"/>
    <cellStyle name="20% - Accent2 4" xfId="32" xr:uid="{00000000-0005-0000-0000-00001F000000}"/>
    <cellStyle name="20% - Accent2 4 2" xfId="2730" xr:uid="{C8ACE510-FCDF-4C15-BB0E-625CCD03568A}"/>
    <cellStyle name="20% - Accent2 5" xfId="33" xr:uid="{00000000-0005-0000-0000-000020000000}"/>
    <cellStyle name="20% - Accent2 5 2" xfId="2731" xr:uid="{BA494C77-7FDE-4077-BF37-60863C88D226}"/>
    <cellStyle name="20% - Accent2 6" xfId="34" xr:uid="{00000000-0005-0000-0000-000021000000}"/>
    <cellStyle name="20% - Accent2 6 2" xfId="2732" xr:uid="{639F9B84-A0AE-434C-A785-11B602BE37AC}"/>
    <cellStyle name="20% - Accent2 7" xfId="35" xr:uid="{00000000-0005-0000-0000-000022000000}"/>
    <cellStyle name="20% - Accent2 7 2" xfId="2733" xr:uid="{9C501229-ADE2-4D8F-AF16-C15BB3CDAA13}"/>
    <cellStyle name="20% - Accent2 8" xfId="36" xr:uid="{00000000-0005-0000-0000-000023000000}"/>
    <cellStyle name="20% - Accent2 8 2" xfId="2734" xr:uid="{02D19043-35EC-4DB2-B2CF-AE51A996B131}"/>
    <cellStyle name="20% - Accent2 9" xfId="37" xr:uid="{00000000-0005-0000-0000-000024000000}"/>
    <cellStyle name="20% - Accent2 9 2" xfId="2735" xr:uid="{65B881A9-094D-460B-91BB-E811C980DC69}"/>
    <cellStyle name="20% - Accent3" xfId="38" builtinId="38" customBuiltin="1"/>
    <cellStyle name="20% - Accent3 10" xfId="39" xr:uid="{00000000-0005-0000-0000-000026000000}"/>
    <cellStyle name="20% - Accent3 10 2" xfId="2736" xr:uid="{8BE912F6-D11F-4E8F-87B5-0C09B1667CEC}"/>
    <cellStyle name="20% - Accent3 11" xfId="40" xr:uid="{00000000-0005-0000-0000-000027000000}"/>
    <cellStyle name="20% - Accent3 11 2" xfId="2737" xr:uid="{5CF70240-2F86-4774-AB53-8A8B182AE9E7}"/>
    <cellStyle name="20% - Accent3 12" xfId="41" xr:uid="{00000000-0005-0000-0000-000028000000}"/>
    <cellStyle name="20% - Accent3 12 2" xfId="2738" xr:uid="{5F0A2F05-C305-44A5-91DB-614E1F625D7E}"/>
    <cellStyle name="20% - Accent3 13" xfId="42" xr:uid="{00000000-0005-0000-0000-000029000000}"/>
    <cellStyle name="20% - Accent3 13 2" xfId="2739" xr:uid="{34F0728F-484D-4750-84CB-AC6DB72CC0F2}"/>
    <cellStyle name="20% - Accent3 14" xfId="43" xr:uid="{00000000-0005-0000-0000-00002A000000}"/>
    <cellStyle name="20% - Accent3 14 2" xfId="2740" xr:uid="{753455CE-F81C-47FB-92C0-ACB81C384EE7}"/>
    <cellStyle name="20% - Accent3 15" xfId="44" xr:uid="{00000000-0005-0000-0000-00002B000000}"/>
    <cellStyle name="20% - Accent3 15 2" xfId="2741" xr:uid="{8C2B68E5-49D9-4224-A19A-CCB43C84D721}"/>
    <cellStyle name="20% - Accent3 16" xfId="45" xr:uid="{00000000-0005-0000-0000-00002C000000}"/>
    <cellStyle name="20% - Accent3 16 2" xfId="2742" xr:uid="{F3FCE1B4-1CBE-4E07-BE17-A12E4068EB3E}"/>
    <cellStyle name="20% - Accent3 17" xfId="2680" xr:uid="{CFB22456-C683-4EA9-B967-597BF32403E7}"/>
    <cellStyle name="20% - Accent3 2" xfId="46" xr:uid="{00000000-0005-0000-0000-00002D000000}"/>
    <cellStyle name="20% - Accent3 2 2" xfId="47" xr:uid="{00000000-0005-0000-0000-00002E000000}"/>
    <cellStyle name="20% - Accent3 2 2 2" xfId="2744" xr:uid="{0AF38D67-01D3-43B2-AF6D-CB37FDA09A32}"/>
    <cellStyle name="20% - Accent3 2 3" xfId="48" xr:uid="{00000000-0005-0000-0000-00002F000000}"/>
    <cellStyle name="20% - Accent3 2 3 2" xfId="2745" xr:uid="{3C19FA89-E039-453A-A617-7FFAAC7E17CC}"/>
    <cellStyle name="20% - Accent3 2 4" xfId="2743" xr:uid="{A1C84F01-E92C-4EE8-820F-3FA462F537B3}"/>
    <cellStyle name="20% - Accent3 3" xfId="49" xr:uid="{00000000-0005-0000-0000-000030000000}"/>
    <cellStyle name="20% - Accent3 3 2" xfId="2746" xr:uid="{16C9222F-597E-4C36-AE02-36B6E547B69D}"/>
    <cellStyle name="20% - Accent3 4" xfId="50" xr:uid="{00000000-0005-0000-0000-000031000000}"/>
    <cellStyle name="20% - Accent3 4 2" xfId="2747" xr:uid="{071D1DEF-F4D3-429D-99D3-4BFD2B0C2932}"/>
    <cellStyle name="20% - Accent3 5" xfId="51" xr:uid="{00000000-0005-0000-0000-000032000000}"/>
    <cellStyle name="20% - Accent3 5 2" xfId="2748" xr:uid="{7EBD99D8-9121-4AFD-8227-5EAAF4D4B6B8}"/>
    <cellStyle name="20% - Accent3 6" xfId="52" xr:uid="{00000000-0005-0000-0000-000033000000}"/>
    <cellStyle name="20% - Accent3 6 2" xfId="2749" xr:uid="{30C4FDC6-7930-4464-9068-8088D0848C26}"/>
    <cellStyle name="20% - Accent3 7" xfId="53" xr:uid="{00000000-0005-0000-0000-000034000000}"/>
    <cellStyle name="20% - Accent3 7 2" xfId="2750" xr:uid="{C5B5B2AD-DDE0-4C88-AF6F-4D37EDE6B547}"/>
    <cellStyle name="20% - Accent3 8" xfId="54" xr:uid="{00000000-0005-0000-0000-000035000000}"/>
    <cellStyle name="20% - Accent3 8 2" xfId="2751" xr:uid="{E0FFDDC5-C396-48C9-A1E5-E82191F920FD}"/>
    <cellStyle name="20% - Accent3 9" xfId="55" xr:uid="{00000000-0005-0000-0000-000036000000}"/>
    <cellStyle name="20% - Accent3 9 2" xfId="2752" xr:uid="{88D33E64-BAFA-4EC5-BBC1-0107FCF9EC9E}"/>
    <cellStyle name="20% - Accent4" xfId="56" builtinId="42" customBuiltin="1"/>
    <cellStyle name="20% - Accent4 10" xfId="57" xr:uid="{00000000-0005-0000-0000-000038000000}"/>
    <cellStyle name="20% - Accent4 10 2" xfId="2753" xr:uid="{15773143-B803-4380-9B1E-AFCC2114B9D4}"/>
    <cellStyle name="20% - Accent4 11" xfId="58" xr:uid="{00000000-0005-0000-0000-000039000000}"/>
    <cellStyle name="20% - Accent4 11 2" xfId="2754" xr:uid="{B9E71C6E-7B24-48BE-B823-B7D17EE1C7EA}"/>
    <cellStyle name="20% - Accent4 12" xfId="59" xr:uid="{00000000-0005-0000-0000-00003A000000}"/>
    <cellStyle name="20% - Accent4 12 2" xfId="2755" xr:uid="{EEC5A849-7782-4169-83A0-E6F60C275C9F}"/>
    <cellStyle name="20% - Accent4 13" xfId="60" xr:uid="{00000000-0005-0000-0000-00003B000000}"/>
    <cellStyle name="20% - Accent4 13 2" xfId="2756" xr:uid="{0D10D352-A8B2-4B89-9501-69D9F767C586}"/>
    <cellStyle name="20% - Accent4 14" xfId="61" xr:uid="{00000000-0005-0000-0000-00003C000000}"/>
    <cellStyle name="20% - Accent4 14 2" xfId="2757" xr:uid="{7AFEC351-429A-4C1A-986D-AFE8293434B1}"/>
    <cellStyle name="20% - Accent4 15" xfId="62" xr:uid="{00000000-0005-0000-0000-00003D000000}"/>
    <cellStyle name="20% - Accent4 15 2" xfId="2758" xr:uid="{526A9AE0-3AEA-4C2E-94AB-44E23B86D4E1}"/>
    <cellStyle name="20% - Accent4 16" xfId="63" xr:uid="{00000000-0005-0000-0000-00003E000000}"/>
    <cellStyle name="20% - Accent4 16 2" xfId="2759" xr:uid="{11E89A49-FD3D-46EE-B8F2-4D72487C5F0F}"/>
    <cellStyle name="20% - Accent4 17" xfId="2681" xr:uid="{16C1D2A4-1ACE-4E24-914C-C4A72F2A8A6C}"/>
    <cellStyle name="20% - Accent4 2" xfId="64" xr:uid="{00000000-0005-0000-0000-00003F000000}"/>
    <cellStyle name="20% - Accent4 2 2" xfId="65" xr:uid="{00000000-0005-0000-0000-000040000000}"/>
    <cellStyle name="20% - Accent4 2 2 2" xfId="2761" xr:uid="{1E2C0659-139C-465A-90A8-FB01A3FF6790}"/>
    <cellStyle name="20% - Accent4 2 3" xfId="66" xr:uid="{00000000-0005-0000-0000-000041000000}"/>
    <cellStyle name="20% - Accent4 2 3 2" xfId="2762" xr:uid="{DA7D05FA-5D8B-47B4-912A-AC8E593A7B80}"/>
    <cellStyle name="20% - Accent4 2 4" xfId="2760" xr:uid="{C9520C84-5835-4608-8ECE-235F7EA4395E}"/>
    <cellStyle name="20% - Accent4 3" xfId="67" xr:uid="{00000000-0005-0000-0000-000042000000}"/>
    <cellStyle name="20% - Accent4 3 2" xfId="2763" xr:uid="{C60B0AE7-6355-4F47-A159-5CF171327AC8}"/>
    <cellStyle name="20% - Accent4 4" xfId="68" xr:uid="{00000000-0005-0000-0000-000043000000}"/>
    <cellStyle name="20% - Accent4 4 2" xfId="2764" xr:uid="{DFFB472A-4D1F-44E3-8AE7-8225799044AA}"/>
    <cellStyle name="20% - Accent4 5" xfId="69" xr:uid="{00000000-0005-0000-0000-000044000000}"/>
    <cellStyle name="20% - Accent4 5 2" xfId="2765" xr:uid="{1CD0E93A-8A30-41E8-AF7B-8ADA061CF618}"/>
    <cellStyle name="20% - Accent4 6" xfId="70" xr:uid="{00000000-0005-0000-0000-000045000000}"/>
    <cellStyle name="20% - Accent4 6 2" xfId="2766" xr:uid="{9D2C0E3F-BB9F-4D0A-8474-ED0F38D5287B}"/>
    <cellStyle name="20% - Accent4 7" xfId="71" xr:uid="{00000000-0005-0000-0000-000046000000}"/>
    <cellStyle name="20% - Accent4 7 2" xfId="2767" xr:uid="{0535C7DF-410B-42DD-9E11-0CA98EED48D5}"/>
    <cellStyle name="20% - Accent4 8" xfId="72" xr:uid="{00000000-0005-0000-0000-000047000000}"/>
    <cellStyle name="20% - Accent4 8 2" xfId="2768" xr:uid="{DAADDEF4-67A8-4AD4-A13E-96AFD8A23346}"/>
    <cellStyle name="20% - Accent4 9" xfId="73" xr:uid="{00000000-0005-0000-0000-000048000000}"/>
    <cellStyle name="20% - Accent4 9 2" xfId="2769" xr:uid="{D93B6EB7-03E2-4E5A-9196-DC986828653E}"/>
    <cellStyle name="20% - Accent5" xfId="74" builtinId="46" customBuiltin="1"/>
    <cellStyle name="20% - Accent5 10" xfId="75" xr:uid="{00000000-0005-0000-0000-00004A000000}"/>
    <cellStyle name="20% - Accent5 10 2" xfId="2770" xr:uid="{9D7E2B18-9D05-468D-A0B3-269863DF527C}"/>
    <cellStyle name="20% - Accent5 11" xfId="76" xr:uid="{00000000-0005-0000-0000-00004B000000}"/>
    <cellStyle name="20% - Accent5 11 2" xfId="2771" xr:uid="{9F9F7195-AF56-4496-84B2-E3512F17FE7C}"/>
    <cellStyle name="20% - Accent5 12" xfId="77" xr:uid="{00000000-0005-0000-0000-00004C000000}"/>
    <cellStyle name="20% - Accent5 12 2" xfId="2772" xr:uid="{DDD1C6BB-0F1E-4C80-8427-5362211A900D}"/>
    <cellStyle name="20% - Accent5 13" xfId="78" xr:uid="{00000000-0005-0000-0000-00004D000000}"/>
    <cellStyle name="20% - Accent5 13 2" xfId="2773" xr:uid="{2508DDBC-9051-4819-93F2-76D5AC15DFC5}"/>
    <cellStyle name="20% - Accent5 14" xfId="79" xr:uid="{00000000-0005-0000-0000-00004E000000}"/>
    <cellStyle name="20% - Accent5 14 2" xfId="2774" xr:uid="{70D5D022-36BE-41C6-8D99-15DC5DE148CF}"/>
    <cellStyle name="20% - Accent5 15" xfId="80" xr:uid="{00000000-0005-0000-0000-00004F000000}"/>
    <cellStyle name="20% - Accent5 15 2" xfId="2775" xr:uid="{1D87E655-A5BA-4EE9-8C22-A815FF987F4A}"/>
    <cellStyle name="20% - Accent5 16" xfId="81" xr:uid="{00000000-0005-0000-0000-000050000000}"/>
    <cellStyle name="20% - Accent5 16 2" xfId="2776" xr:uid="{D9A49F7F-E6FA-454F-A44E-70049E55291E}"/>
    <cellStyle name="20% - Accent5 17" xfId="2682" xr:uid="{10825E2A-3DDD-4442-9E54-1AEE9EE53DD5}"/>
    <cellStyle name="20% - Accent5 2" xfId="82" xr:uid="{00000000-0005-0000-0000-000051000000}"/>
    <cellStyle name="20% - Accent5 2 2" xfId="83" xr:uid="{00000000-0005-0000-0000-000052000000}"/>
    <cellStyle name="20% - Accent5 2 2 2" xfId="2778" xr:uid="{D096C8FB-00F1-4CEB-802B-E838D0705ED8}"/>
    <cellStyle name="20% - Accent5 2 3" xfId="84" xr:uid="{00000000-0005-0000-0000-000053000000}"/>
    <cellStyle name="20% - Accent5 2 3 2" xfId="2779" xr:uid="{72BE08FE-5813-4D24-87A8-DC0A63E6DDC0}"/>
    <cellStyle name="20% - Accent5 2 4" xfId="2777" xr:uid="{07F58656-A19B-4F19-9DA9-3A216BB0E4D9}"/>
    <cellStyle name="20% - Accent5 3" xfId="85" xr:uid="{00000000-0005-0000-0000-000054000000}"/>
    <cellStyle name="20% - Accent5 3 2" xfId="2780" xr:uid="{A7816C2B-3AFC-4313-A97C-10D3084BD495}"/>
    <cellStyle name="20% - Accent5 4" xfId="86" xr:uid="{00000000-0005-0000-0000-000055000000}"/>
    <cellStyle name="20% - Accent5 4 2" xfId="2781" xr:uid="{C160830B-A6B8-489F-97B6-E0ED98212615}"/>
    <cellStyle name="20% - Accent5 5" xfId="87" xr:uid="{00000000-0005-0000-0000-000056000000}"/>
    <cellStyle name="20% - Accent5 5 2" xfId="2782" xr:uid="{87B8BCF4-2181-4404-B681-77B59C29B64E}"/>
    <cellStyle name="20% - Accent5 6" xfId="88" xr:uid="{00000000-0005-0000-0000-000057000000}"/>
    <cellStyle name="20% - Accent5 6 2" xfId="2783" xr:uid="{CAC8ADF4-B119-4EFF-A870-3001A6839A1E}"/>
    <cellStyle name="20% - Accent5 7" xfId="89" xr:uid="{00000000-0005-0000-0000-000058000000}"/>
    <cellStyle name="20% - Accent5 7 2" xfId="2784" xr:uid="{C17693AB-77EC-496C-993B-6345FBA70796}"/>
    <cellStyle name="20% - Accent5 8" xfId="90" xr:uid="{00000000-0005-0000-0000-000059000000}"/>
    <cellStyle name="20% - Accent5 8 2" xfId="2785" xr:uid="{B584B261-D738-45A1-B345-1655D3CC8109}"/>
    <cellStyle name="20% - Accent5 9" xfId="91" xr:uid="{00000000-0005-0000-0000-00005A000000}"/>
    <cellStyle name="20% - Accent5 9 2" xfId="2786" xr:uid="{36632DAE-BDBB-479D-9510-C8DAEB05EEDC}"/>
    <cellStyle name="20% - Accent6" xfId="92" builtinId="50" customBuiltin="1"/>
    <cellStyle name="20% - Accent6 10" xfId="93" xr:uid="{00000000-0005-0000-0000-00005C000000}"/>
    <cellStyle name="20% - Accent6 10 2" xfId="2787" xr:uid="{F3D95165-A4FF-4B61-9F08-5DC2521F7BFF}"/>
    <cellStyle name="20% - Accent6 11" xfId="94" xr:uid="{00000000-0005-0000-0000-00005D000000}"/>
    <cellStyle name="20% - Accent6 11 2" xfId="2788" xr:uid="{A5831063-7D8C-411A-8257-34EAD3588FD6}"/>
    <cellStyle name="20% - Accent6 12" xfId="95" xr:uid="{00000000-0005-0000-0000-00005E000000}"/>
    <cellStyle name="20% - Accent6 12 2" xfId="2789" xr:uid="{1DC025D3-5C34-40A3-8843-CB980BB3FC8A}"/>
    <cellStyle name="20% - Accent6 13" xfId="96" xr:uid="{00000000-0005-0000-0000-00005F000000}"/>
    <cellStyle name="20% - Accent6 13 2" xfId="2790" xr:uid="{A623FDF8-52B6-4B35-A102-5A18BDA6FD7A}"/>
    <cellStyle name="20% - Accent6 14" xfId="97" xr:uid="{00000000-0005-0000-0000-000060000000}"/>
    <cellStyle name="20% - Accent6 14 2" xfId="2791" xr:uid="{D65E9763-7867-4B43-B8B9-0E2300B314C1}"/>
    <cellStyle name="20% - Accent6 15" xfId="98" xr:uid="{00000000-0005-0000-0000-000061000000}"/>
    <cellStyle name="20% - Accent6 15 2" xfId="2792" xr:uid="{64F0D075-5F7B-45B8-A3DF-6FC265B05F72}"/>
    <cellStyle name="20% - Accent6 16" xfId="99" xr:uid="{00000000-0005-0000-0000-000062000000}"/>
    <cellStyle name="20% - Accent6 16 2" xfId="2793" xr:uid="{0FC6B722-8EC5-4D34-90FC-672637487BA3}"/>
    <cellStyle name="20% - Accent6 17" xfId="2683" xr:uid="{33DA1A6A-CE51-4DEE-91A9-3D7EA52D8438}"/>
    <cellStyle name="20% - Accent6 2" xfId="100" xr:uid="{00000000-0005-0000-0000-000063000000}"/>
    <cellStyle name="20% - Accent6 2 2" xfId="101" xr:uid="{00000000-0005-0000-0000-000064000000}"/>
    <cellStyle name="20% - Accent6 2 2 2" xfId="2795" xr:uid="{F6E0A9ED-62F1-47A8-897F-1F708821CC44}"/>
    <cellStyle name="20% - Accent6 2 3" xfId="102" xr:uid="{00000000-0005-0000-0000-000065000000}"/>
    <cellStyle name="20% - Accent6 2 3 2" xfId="2796" xr:uid="{58ABE2DA-B8A4-4BA9-8DA6-22EF099784A8}"/>
    <cellStyle name="20% - Accent6 2 4" xfId="2794" xr:uid="{8F3E5CF0-DCA3-473E-AA74-2460DA5F86D0}"/>
    <cellStyle name="20% - Accent6 3" xfId="103" xr:uid="{00000000-0005-0000-0000-000066000000}"/>
    <cellStyle name="20% - Accent6 3 2" xfId="2797" xr:uid="{5ED3F35E-33FF-48DD-B1E2-5D7F258694EF}"/>
    <cellStyle name="20% - Accent6 4" xfId="104" xr:uid="{00000000-0005-0000-0000-000067000000}"/>
    <cellStyle name="20% - Accent6 4 2" xfId="2798" xr:uid="{6EC3AEDC-1BC8-4362-91BA-DB51F0E5952A}"/>
    <cellStyle name="20% - Accent6 5" xfId="105" xr:uid="{00000000-0005-0000-0000-000068000000}"/>
    <cellStyle name="20% - Accent6 5 2" xfId="2799" xr:uid="{A58765AB-0F46-4313-9AE1-0B6AA720DD63}"/>
    <cellStyle name="20% - Accent6 6" xfId="106" xr:uid="{00000000-0005-0000-0000-000069000000}"/>
    <cellStyle name="20% - Accent6 6 2" xfId="2800" xr:uid="{F2CF4CD8-4339-4F04-8BEB-0F5608CBB916}"/>
    <cellStyle name="20% - Accent6 7" xfId="107" xr:uid="{00000000-0005-0000-0000-00006A000000}"/>
    <cellStyle name="20% - Accent6 7 2" xfId="2801" xr:uid="{C4F3E692-76D4-40F4-956A-8311F3F16777}"/>
    <cellStyle name="20% - Accent6 8" xfId="108" xr:uid="{00000000-0005-0000-0000-00006B000000}"/>
    <cellStyle name="20% - Accent6 8 2" xfId="2802" xr:uid="{AA617382-7AC8-49F0-9BD0-15E2DF9AB874}"/>
    <cellStyle name="20% - Accent6 9" xfId="109" xr:uid="{00000000-0005-0000-0000-00006C000000}"/>
    <cellStyle name="20% - Accent6 9 2" xfId="2803" xr:uid="{8B1D8324-B9AB-405F-932F-D3209A0636A3}"/>
    <cellStyle name="40% - Accent1" xfId="110" builtinId="31" customBuiltin="1"/>
    <cellStyle name="40% - Accent1 10" xfId="111" xr:uid="{00000000-0005-0000-0000-00006E000000}"/>
    <cellStyle name="40% - Accent1 10 2" xfId="2804" xr:uid="{0201B675-D59E-4882-A1FA-014C1DB0A192}"/>
    <cellStyle name="40% - Accent1 11" xfId="112" xr:uid="{00000000-0005-0000-0000-00006F000000}"/>
    <cellStyle name="40% - Accent1 11 2" xfId="2805" xr:uid="{B3CD7E60-7E7B-4641-B7E7-819D431A18F4}"/>
    <cellStyle name="40% - Accent1 12" xfId="113" xr:uid="{00000000-0005-0000-0000-000070000000}"/>
    <cellStyle name="40% - Accent1 12 2" xfId="2806" xr:uid="{AAFAB973-1600-4A6B-B530-E2372514F371}"/>
    <cellStyle name="40% - Accent1 13" xfId="114" xr:uid="{00000000-0005-0000-0000-000071000000}"/>
    <cellStyle name="40% - Accent1 13 2" xfId="2807" xr:uid="{B782D561-999F-4B9D-BBFE-D5664ED8C042}"/>
    <cellStyle name="40% - Accent1 14" xfId="115" xr:uid="{00000000-0005-0000-0000-000072000000}"/>
    <cellStyle name="40% - Accent1 14 2" xfId="2808" xr:uid="{4AA515C4-DA40-40AB-A1F5-38CF4029E8C2}"/>
    <cellStyle name="40% - Accent1 15" xfId="116" xr:uid="{00000000-0005-0000-0000-000073000000}"/>
    <cellStyle name="40% - Accent1 15 2" xfId="2809" xr:uid="{23F2BC3C-4B07-4BB3-A730-A68B98C13C2B}"/>
    <cellStyle name="40% - Accent1 16" xfId="117" xr:uid="{00000000-0005-0000-0000-000074000000}"/>
    <cellStyle name="40% - Accent1 16 2" xfId="2810" xr:uid="{61D6FA0E-1D97-4FB9-877C-C4450FB05574}"/>
    <cellStyle name="40% - Accent1 17" xfId="2684" xr:uid="{F0874FD3-F75D-4EFE-B074-DD269D8809CD}"/>
    <cellStyle name="40% - Accent1 2" xfId="118" xr:uid="{00000000-0005-0000-0000-000075000000}"/>
    <cellStyle name="40% - Accent1 2 2" xfId="119" xr:uid="{00000000-0005-0000-0000-000076000000}"/>
    <cellStyle name="40% - Accent1 2 2 2" xfId="2812" xr:uid="{950D5C28-242E-479E-940C-DE8EC3D27E9F}"/>
    <cellStyle name="40% - Accent1 2 3" xfId="120" xr:uid="{00000000-0005-0000-0000-000077000000}"/>
    <cellStyle name="40% - Accent1 2 3 2" xfId="2813" xr:uid="{E67E6A60-8C73-4A63-937C-CEE0A8D46A54}"/>
    <cellStyle name="40% - Accent1 2 4" xfId="2811" xr:uid="{8132490D-101D-40D3-86F6-E2845804BC0F}"/>
    <cellStyle name="40% - Accent1 3" xfId="121" xr:uid="{00000000-0005-0000-0000-000078000000}"/>
    <cellStyle name="40% - Accent1 3 2" xfId="2814" xr:uid="{1B841C66-0EE3-40F5-AA96-7F48E674386A}"/>
    <cellStyle name="40% - Accent1 4" xfId="122" xr:uid="{00000000-0005-0000-0000-000079000000}"/>
    <cellStyle name="40% - Accent1 4 2" xfId="2815" xr:uid="{B1F10949-F8E7-4FEC-83AD-31018EFDB8E2}"/>
    <cellStyle name="40% - Accent1 5" xfId="123" xr:uid="{00000000-0005-0000-0000-00007A000000}"/>
    <cellStyle name="40% - Accent1 5 2" xfId="2816" xr:uid="{622D6B20-8DBC-4838-B48A-819B4C707F3F}"/>
    <cellStyle name="40% - Accent1 6" xfId="124" xr:uid="{00000000-0005-0000-0000-00007B000000}"/>
    <cellStyle name="40% - Accent1 6 2" xfId="2817" xr:uid="{0B8E7E9F-F9A4-40CB-9B8B-97A00C226846}"/>
    <cellStyle name="40% - Accent1 7" xfId="125" xr:uid="{00000000-0005-0000-0000-00007C000000}"/>
    <cellStyle name="40% - Accent1 7 2" xfId="2818" xr:uid="{5672D05D-C693-4B8F-BD2C-C4EB9E340481}"/>
    <cellStyle name="40% - Accent1 8" xfId="126" xr:uid="{00000000-0005-0000-0000-00007D000000}"/>
    <cellStyle name="40% - Accent1 8 2" xfId="2819" xr:uid="{3A249AC2-BF7D-439E-A03E-EC77B25B8F02}"/>
    <cellStyle name="40% - Accent1 9" xfId="127" xr:uid="{00000000-0005-0000-0000-00007E000000}"/>
    <cellStyle name="40% - Accent1 9 2" xfId="2820" xr:uid="{5DC005A9-A3CB-400B-8FB3-F6A3F2FC6071}"/>
    <cellStyle name="40% - Accent2" xfId="128" builtinId="35" customBuiltin="1"/>
    <cellStyle name="40% - Accent2 10" xfId="129" xr:uid="{00000000-0005-0000-0000-000080000000}"/>
    <cellStyle name="40% - Accent2 10 2" xfId="2821" xr:uid="{527F06F9-3916-46E0-B72F-1E14A42D2607}"/>
    <cellStyle name="40% - Accent2 11" xfId="130" xr:uid="{00000000-0005-0000-0000-000081000000}"/>
    <cellStyle name="40% - Accent2 11 2" xfId="2822" xr:uid="{BF47B952-8866-4D9D-9C8B-C7F86534A6F9}"/>
    <cellStyle name="40% - Accent2 12" xfId="131" xr:uid="{00000000-0005-0000-0000-000082000000}"/>
    <cellStyle name="40% - Accent2 12 2" xfId="2823" xr:uid="{D8705773-C60D-4C97-98C3-D56D761CFC7A}"/>
    <cellStyle name="40% - Accent2 13" xfId="132" xr:uid="{00000000-0005-0000-0000-000083000000}"/>
    <cellStyle name="40% - Accent2 13 2" xfId="2824" xr:uid="{26394EF0-3050-487B-B910-B3D5CBE56303}"/>
    <cellStyle name="40% - Accent2 14" xfId="133" xr:uid="{00000000-0005-0000-0000-000084000000}"/>
    <cellStyle name="40% - Accent2 14 2" xfId="2825" xr:uid="{58DDA767-D2BE-4F01-B44F-863186EECE8C}"/>
    <cellStyle name="40% - Accent2 15" xfId="134" xr:uid="{00000000-0005-0000-0000-000085000000}"/>
    <cellStyle name="40% - Accent2 15 2" xfId="2826" xr:uid="{C92E2508-F24C-4E38-9A28-F83266F6E55C}"/>
    <cellStyle name="40% - Accent2 16" xfId="135" xr:uid="{00000000-0005-0000-0000-000086000000}"/>
    <cellStyle name="40% - Accent2 16 2" xfId="2827" xr:uid="{BE3FBDEE-4C71-4B21-93F2-FC73BFBE827D}"/>
    <cellStyle name="40% - Accent2 17" xfId="2685" xr:uid="{DC147DC6-6DF6-4EDC-91BA-9289A1870C0A}"/>
    <cellStyle name="40% - Accent2 2" xfId="136" xr:uid="{00000000-0005-0000-0000-000087000000}"/>
    <cellStyle name="40% - Accent2 2 2" xfId="137" xr:uid="{00000000-0005-0000-0000-000088000000}"/>
    <cellStyle name="40% - Accent2 2 2 2" xfId="2829" xr:uid="{475BDC45-811C-4243-B9A6-0E8D5CD39262}"/>
    <cellStyle name="40% - Accent2 2 3" xfId="138" xr:uid="{00000000-0005-0000-0000-000089000000}"/>
    <cellStyle name="40% - Accent2 2 3 2" xfId="2830" xr:uid="{99049AC6-752B-4B78-978F-150A3A957BA5}"/>
    <cellStyle name="40% - Accent2 2 4" xfId="2828" xr:uid="{E2804311-4C7A-4A5D-9209-A7B50CB89417}"/>
    <cellStyle name="40% - Accent2 3" xfId="139" xr:uid="{00000000-0005-0000-0000-00008A000000}"/>
    <cellStyle name="40% - Accent2 3 2" xfId="2831" xr:uid="{D6EB3DB2-2AD2-4B8C-A774-669FA186E8A3}"/>
    <cellStyle name="40% - Accent2 4" xfId="140" xr:uid="{00000000-0005-0000-0000-00008B000000}"/>
    <cellStyle name="40% - Accent2 4 2" xfId="2832" xr:uid="{787B5462-849C-4F5E-A221-CEE3CBF53E30}"/>
    <cellStyle name="40% - Accent2 5" xfId="141" xr:uid="{00000000-0005-0000-0000-00008C000000}"/>
    <cellStyle name="40% - Accent2 5 2" xfId="2833" xr:uid="{5981B219-0566-4390-9822-0938589AD361}"/>
    <cellStyle name="40% - Accent2 6" xfId="142" xr:uid="{00000000-0005-0000-0000-00008D000000}"/>
    <cellStyle name="40% - Accent2 6 2" xfId="2834" xr:uid="{07093666-46A7-45E7-9443-C18D8D1456FD}"/>
    <cellStyle name="40% - Accent2 7" xfId="143" xr:uid="{00000000-0005-0000-0000-00008E000000}"/>
    <cellStyle name="40% - Accent2 7 2" xfId="2835" xr:uid="{4C472C9A-64F2-4E54-ADA0-908560B70926}"/>
    <cellStyle name="40% - Accent2 8" xfId="144" xr:uid="{00000000-0005-0000-0000-00008F000000}"/>
    <cellStyle name="40% - Accent2 8 2" xfId="2836" xr:uid="{CAB0CEE7-6CE6-4138-86E9-3E7B27474047}"/>
    <cellStyle name="40% - Accent2 9" xfId="145" xr:uid="{00000000-0005-0000-0000-000090000000}"/>
    <cellStyle name="40% - Accent2 9 2" xfId="2837" xr:uid="{EBDCE0CE-7A6E-4CE5-9C8D-73505150831A}"/>
    <cellStyle name="40% - Accent3" xfId="146" builtinId="39" customBuiltin="1"/>
    <cellStyle name="40% - Accent3 10" xfId="147" xr:uid="{00000000-0005-0000-0000-000092000000}"/>
    <cellStyle name="40% - Accent3 10 2" xfId="2838" xr:uid="{7CB9C052-B57F-46AA-B54E-BCE3FBE2BC74}"/>
    <cellStyle name="40% - Accent3 11" xfId="148" xr:uid="{00000000-0005-0000-0000-000093000000}"/>
    <cellStyle name="40% - Accent3 11 2" xfId="2839" xr:uid="{D210A6F7-A13A-4482-828E-7EF390DB03C7}"/>
    <cellStyle name="40% - Accent3 12" xfId="149" xr:uid="{00000000-0005-0000-0000-000094000000}"/>
    <cellStyle name="40% - Accent3 12 2" xfId="2840" xr:uid="{AF91DE42-1D2D-41B9-A26A-62454B78A7AE}"/>
    <cellStyle name="40% - Accent3 13" xfId="150" xr:uid="{00000000-0005-0000-0000-000095000000}"/>
    <cellStyle name="40% - Accent3 13 2" xfId="2841" xr:uid="{44A02F84-BD90-4989-916B-58A5AB20BA58}"/>
    <cellStyle name="40% - Accent3 14" xfId="151" xr:uid="{00000000-0005-0000-0000-000096000000}"/>
    <cellStyle name="40% - Accent3 14 2" xfId="2842" xr:uid="{2ABA72C6-607E-4124-BA91-873CCC7DE1C4}"/>
    <cellStyle name="40% - Accent3 15" xfId="152" xr:uid="{00000000-0005-0000-0000-000097000000}"/>
    <cellStyle name="40% - Accent3 15 2" xfId="2843" xr:uid="{06E3E6CC-1BC5-45EE-B19B-40778D513C2C}"/>
    <cellStyle name="40% - Accent3 16" xfId="153" xr:uid="{00000000-0005-0000-0000-000098000000}"/>
    <cellStyle name="40% - Accent3 16 2" xfId="2844" xr:uid="{359BA09F-52D3-424E-882E-CE72655A8EF9}"/>
    <cellStyle name="40% - Accent3 17" xfId="2686" xr:uid="{5AD7CDAF-2688-4BBA-ACA2-F55148C3B74C}"/>
    <cellStyle name="40% - Accent3 2" xfId="154" xr:uid="{00000000-0005-0000-0000-000099000000}"/>
    <cellStyle name="40% - Accent3 2 2" xfId="155" xr:uid="{00000000-0005-0000-0000-00009A000000}"/>
    <cellStyle name="40% - Accent3 2 2 2" xfId="2846" xr:uid="{A78DEAF8-3B69-4FBF-A2EB-6EDC13D48AE4}"/>
    <cellStyle name="40% - Accent3 2 3" xfId="156" xr:uid="{00000000-0005-0000-0000-00009B000000}"/>
    <cellStyle name="40% - Accent3 2 3 2" xfId="2847" xr:uid="{5C95DE15-63FC-4E7D-BD1F-43E5926572F7}"/>
    <cellStyle name="40% - Accent3 2 4" xfId="2845" xr:uid="{190B366F-EB6F-429C-A43C-D59F8BB6D612}"/>
    <cellStyle name="40% - Accent3 3" xfId="157" xr:uid="{00000000-0005-0000-0000-00009C000000}"/>
    <cellStyle name="40% - Accent3 3 2" xfId="2848" xr:uid="{6B0941A8-930C-4734-A03E-89D21239F720}"/>
    <cellStyle name="40% - Accent3 4" xfId="158" xr:uid="{00000000-0005-0000-0000-00009D000000}"/>
    <cellStyle name="40% - Accent3 4 2" xfId="2849" xr:uid="{2F7B91E2-B0C4-45D1-8804-BA407F630849}"/>
    <cellStyle name="40% - Accent3 5" xfId="159" xr:uid="{00000000-0005-0000-0000-00009E000000}"/>
    <cellStyle name="40% - Accent3 5 2" xfId="2850" xr:uid="{CC002BE2-69F0-4195-9D55-12BBA6BF1A78}"/>
    <cellStyle name="40% - Accent3 6" xfId="160" xr:uid="{00000000-0005-0000-0000-00009F000000}"/>
    <cellStyle name="40% - Accent3 6 2" xfId="2851" xr:uid="{B067B840-B6DF-4628-A876-ED2E48C9895E}"/>
    <cellStyle name="40% - Accent3 7" xfId="161" xr:uid="{00000000-0005-0000-0000-0000A0000000}"/>
    <cellStyle name="40% - Accent3 7 2" xfId="2852" xr:uid="{D0CFB6FD-18E1-4D5B-BFE7-10CF52CA5254}"/>
    <cellStyle name="40% - Accent3 8" xfId="162" xr:uid="{00000000-0005-0000-0000-0000A1000000}"/>
    <cellStyle name="40% - Accent3 8 2" xfId="2853" xr:uid="{ACADA7B9-017A-45BA-A2C8-C43992B2939F}"/>
    <cellStyle name="40% - Accent3 9" xfId="163" xr:uid="{00000000-0005-0000-0000-0000A2000000}"/>
    <cellStyle name="40% - Accent3 9 2" xfId="2854" xr:uid="{7CEF9345-AC6C-4678-80F8-325283B927C9}"/>
    <cellStyle name="40% - Accent4" xfId="164" builtinId="43" customBuiltin="1"/>
    <cellStyle name="40% - Accent4 10" xfId="165" xr:uid="{00000000-0005-0000-0000-0000A4000000}"/>
    <cellStyle name="40% - Accent4 10 2" xfId="2855" xr:uid="{98E473DD-1BEA-474F-A995-A8E0A309F2A5}"/>
    <cellStyle name="40% - Accent4 11" xfId="166" xr:uid="{00000000-0005-0000-0000-0000A5000000}"/>
    <cellStyle name="40% - Accent4 11 2" xfId="2856" xr:uid="{99F44864-85CE-44F1-8936-5287CE4DD5D2}"/>
    <cellStyle name="40% - Accent4 12" xfId="167" xr:uid="{00000000-0005-0000-0000-0000A6000000}"/>
    <cellStyle name="40% - Accent4 12 2" xfId="2857" xr:uid="{7568710D-C8B4-4339-AF93-A9362C1E0254}"/>
    <cellStyle name="40% - Accent4 13" xfId="168" xr:uid="{00000000-0005-0000-0000-0000A7000000}"/>
    <cellStyle name="40% - Accent4 13 2" xfId="2858" xr:uid="{FAC372FB-526B-4D38-9C03-EA3665C9459A}"/>
    <cellStyle name="40% - Accent4 14" xfId="169" xr:uid="{00000000-0005-0000-0000-0000A8000000}"/>
    <cellStyle name="40% - Accent4 14 2" xfId="2859" xr:uid="{3AC8C792-32B9-4596-A2B3-AAF76BAEC08F}"/>
    <cellStyle name="40% - Accent4 15" xfId="170" xr:uid="{00000000-0005-0000-0000-0000A9000000}"/>
    <cellStyle name="40% - Accent4 15 2" xfId="2860" xr:uid="{176104D2-0C18-4B03-9F7E-D0F5E33F2AB7}"/>
    <cellStyle name="40% - Accent4 16" xfId="171" xr:uid="{00000000-0005-0000-0000-0000AA000000}"/>
    <cellStyle name="40% - Accent4 16 2" xfId="2861" xr:uid="{9639B432-552B-45BF-AF98-3C12415803D2}"/>
    <cellStyle name="40% - Accent4 17" xfId="2687" xr:uid="{4635C766-7AF4-4A12-A709-01C82ECC3265}"/>
    <cellStyle name="40% - Accent4 2" xfId="172" xr:uid="{00000000-0005-0000-0000-0000AB000000}"/>
    <cellStyle name="40% - Accent4 2 2" xfId="173" xr:uid="{00000000-0005-0000-0000-0000AC000000}"/>
    <cellStyle name="40% - Accent4 2 2 2" xfId="2863" xr:uid="{7C1E27C2-C1BA-42B2-9614-3E5F19252A0B}"/>
    <cellStyle name="40% - Accent4 2 3" xfId="174" xr:uid="{00000000-0005-0000-0000-0000AD000000}"/>
    <cellStyle name="40% - Accent4 2 3 2" xfId="2864" xr:uid="{78B6DBC2-7734-45EC-9FD1-AF6C75624D51}"/>
    <cellStyle name="40% - Accent4 2 4" xfId="2862" xr:uid="{EFD25671-8ED0-489F-852C-3BA22C6DE8F0}"/>
    <cellStyle name="40% - Accent4 3" xfId="175" xr:uid="{00000000-0005-0000-0000-0000AE000000}"/>
    <cellStyle name="40% - Accent4 3 2" xfId="2865" xr:uid="{2EA130A3-D7B2-4EFC-8E47-EAD830BF69E3}"/>
    <cellStyle name="40% - Accent4 4" xfId="176" xr:uid="{00000000-0005-0000-0000-0000AF000000}"/>
    <cellStyle name="40% - Accent4 4 2" xfId="2866" xr:uid="{2B8A75C3-55F9-4614-9B50-C5AC93E3D396}"/>
    <cellStyle name="40% - Accent4 5" xfId="177" xr:uid="{00000000-0005-0000-0000-0000B0000000}"/>
    <cellStyle name="40% - Accent4 5 2" xfId="2867" xr:uid="{E93F9A3E-CE54-4484-8D64-B01F4CEAF630}"/>
    <cellStyle name="40% - Accent4 6" xfId="178" xr:uid="{00000000-0005-0000-0000-0000B1000000}"/>
    <cellStyle name="40% - Accent4 6 2" xfId="2868" xr:uid="{C7B68147-DB37-4868-A314-70099F410BC9}"/>
    <cellStyle name="40% - Accent4 7" xfId="179" xr:uid="{00000000-0005-0000-0000-0000B2000000}"/>
    <cellStyle name="40% - Accent4 7 2" xfId="2869" xr:uid="{8CF138DD-7457-4D79-A98B-C12B340D84A3}"/>
    <cellStyle name="40% - Accent4 8" xfId="180" xr:uid="{00000000-0005-0000-0000-0000B3000000}"/>
    <cellStyle name="40% - Accent4 8 2" xfId="2870" xr:uid="{EC55CE5D-9D14-422E-AE03-9886661FDDEB}"/>
    <cellStyle name="40% - Accent4 9" xfId="181" xr:uid="{00000000-0005-0000-0000-0000B4000000}"/>
    <cellStyle name="40% - Accent4 9 2" xfId="2871" xr:uid="{DCCC6732-3978-4390-A336-7199408A95D6}"/>
    <cellStyle name="40% - Accent5" xfId="182" builtinId="47" customBuiltin="1"/>
    <cellStyle name="40% - Accent5 10" xfId="183" xr:uid="{00000000-0005-0000-0000-0000B6000000}"/>
    <cellStyle name="40% - Accent5 10 2" xfId="2872" xr:uid="{3DA3B953-885D-4CC6-913D-297FD53C9037}"/>
    <cellStyle name="40% - Accent5 11" xfId="184" xr:uid="{00000000-0005-0000-0000-0000B7000000}"/>
    <cellStyle name="40% - Accent5 11 2" xfId="2873" xr:uid="{5E559056-E0D5-473D-B685-775535AA28F3}"/>
    <cellStyle name="40% - Accent5 12" xfId="185" xr:uid="{00000000-0005-0000-0000-0000B8000000}"/>
    <cellStyle name="40% - Accent5 12 2" xfId="2874" xr:uid="{C72E083F-078F-43DD-9D4D-2A0CC921C483}"/>
    <cellStyle name="40% - Accent5 13" xfId="186" xr:uid="{00000000-0005-0000-0000-0000B9000000}"/>
    <cellStyle name="40% - Accent5 13 2" xfId="2875" xr:uid="{33963762-973E-4340-9C6B-3979AC0A5208}"/>
    <cellStyle name="40% - Accent5 14" xfId="187" xr:uid="{00000000-0005-0000-0000-0000BA000000}"/>
    <cellStyle name="40% - Accent5 14 2" xfId="2876" xr:uid="{B423D2E7-D74D-41B8-B00B-7F8A84549746}"/>
    <cellStyle name="40% - Accent5 15" xfId="188" xr:uid="{00000000-0005-0000-0000-0000BB000000}"/>
    <cellStyle name="40% - Accent5 15 2" xfId="2877" xr:uid="{37DF92EA-902E-4AC9-97D0-2F467F210A73}"/>
    <cellStyle name="40% - Accent5 16" xfId="189" xr:uid="{00000000-0005-0000-0000-0000BC000000}"/>
    <cellStyle name="40% - Accent5 16 2" xfId="2878" xr:uid="{4AF9BAF7-08B4-4F01-8987-E99354528397}"/>
    <cellStyle name="40% - Accent5 17" xfId="2688" xr:uid="{CD4F8C53-E21D-4013-8EE5-409C1EBB2E4A}"/>
    <cellStyle name="40% - Accent5 2" xfId="190" xr:uid="{00000000-0005-0000-0000-0000BD000000}"/>
    <cellStyle name="40% - Accent5 2 2" xfId="191" xr:uid="{00000000-0005-0000-0000-0000BE000000}"/>
    <cellStyle name="40% - Accent5 2 2 2" xfId="2880" xr:uid="{CC93DDA3-A333-437A-8E7E-D9B56E6C7763}"/>
    <cellStyle name="40% - Accent5 2 3" xfId="192" xr:uid="{00000000-0005-0000-0000-0000BF000000}"/>
    <cellStyle name="40% - Accent5 2 3 2" xfId="2881" xr:uid="{231C2A6B-C92B-4184-AAD3-4C5061F6691B}"/>
    <cellStyle name="40% - Accent5 2 4" xfId="2879" xr:uid="{C8614C84-45D5-4038-8D21-6C81A44A427F}"/>
    <cellStyle name="40% - Accent5 3" xfId="193" xr:uid="{00000000-0005-0000-0000-0000C0000000}"/>
    <cellStyle name="40% - Accent5 3 2" xfId="2882" xr:uid="{8E592B46-15BC-41AB-82CC-DAF807E69581}"/>
    <cellStyle name="40% - Accent5 4" xfId="194" xr:uid="{00000000-0005-0000-0000-0000C1000000}"/>
    <cellStyle name="40% - Accent5 4 2" xfId="2883" xr:uid="{7AFF8094-83B7-4B4C-BFE0-1E3D4AC75CD9}"/>
    <cellStyle name="40% - Accent5 5" xfId="195" xr:uid="{00000000-0005-0000-0000-0000C2000000}"/>
    <cellStyle name="40% - Accent5 5 2" xfId="2884" xr:uid="{CCD0945D-326D-4546-AB45-B71A5927E97A}"/>
    <cellStyle name="40% - Accent5 6" xfId="196" xr:uid="{00000000-0005-0000-0000-0000C3000000}"/>
    <cellStyle name="40% - Accent5 6 2" xfId="2885" xr:uid="{9D759B33-1CD0-41DE-9B2B-541B03CF5830}"/>
    <cellStyle name="40% - Accent5 7" xfId="197" xr:uid="{00000000-0005-0000-0000-0000C4000000}"/>
    <cellStyle name="40% - Accent5 7 2" xfId="2886" xr:uid="{D73ABD74-D528-40A7-AD1F-2484DA4E6692}"/>
    <cellStyle name="40% - Accent5 8" xfId="198" xr:uid="{00000000-0005-0000-0000-0000C5000000}"/>
    <cellStyle name="40% - Accent5 8 2" xfId="2887" xr:uid="{2BD1BD52-F9A0-4C83-A468-7403DDD6AE9D}"/>
    <cellStyle name="40% - Accent5 9" xfId="199" xr:uid="{00000000-0005-0000-0000-0000C6000000}"/>
    <cellStyle name="40% - Accent5 9 2" xfId="2888" xr:uid="{2373DC20-1594-4EEA-9A92-CAED451FA645}"/>
    <cellStyle name="40% - Accent6" xfId="200" builtinId="51" customBuiltin="1"/>
    <cellStyle name="40% - Accent6 10" xfId="201" xr:uid="{00000000-0005-0000-0000-0000C8000000}"/>
    <cellStyle name="40% - Accent6 10 2" xfId="2889" xr:uid="{3A067983-DE34-47CF-9748-662413FA38B3}"/>
    <cellStyle name="40% - Accent6 11" xfId="202" xr:uid="{00000000-0005-0000-0000-0000C9000000}"/>
    <cellStyle name="40% - Accent6 11 2" xfId="2890" xr:uid="{328DD6B8-8337-42EB-B701-C4C64105C412}"/>
    <cellStyle name="40% - Accent6 12" xfId="203" xr:uid="{00000000-0005-0000-0000-0000CA000000}"/>
    <cellStyle name="40% - Accent6 12 2" xfId="2891" xr:uid="{DB862B69-EC5E-4364-A6B5-C02A988B19CA}"/>
    <cellStyle name="40% - Accent6 13" xfId="204" xr:uid="{00000000-0005-0000-0000-0000CB000000}"/>
    <cellStyle name="40% - Accent6 13 2" xfId="2892" xr:uid="{F10DA520-E03E-4129-B30E-8AF7A841823E}"/>
    <cellStyle name="40% - Accent6 14" xfId="205" xr:uid="{00000000-0005-0000-0000-0000CC000000}"/>
    <cellStyle name="40% - Accent6 14 2" xfId="2893" xr:uid="{491ACFD1-745A-4718-ADA8-1F64D5B97F8D}"/>
    <cellStyle name="40% - Accent6 15" xfId="206" xr:uid="{00000000-0005-0000-0000-0000CD000000}"/>
    <cellStyle name="40% - Accent6 15 2" xfId="2894" xr:uid="{F8605509-EB93-4204-9A17-8B641DD77054}"/>
    <cellStyle name="40% - Accent6 16" xfId="207" xr:uid="{00000000-0005-0000-0000-0000CE000000}"/>
    <cellStyle name="40% - Accent6 16 2" xfId="2895" xr:uid="{EC88FF2A-AE93-4FC4-A055-6773EE971A79}"/>
    <cellStyle name="40% - Accent6 17" xfId="2689" xr:uid="{FE036046-B87A-4EC7-8F5F-15CF07501508}"/>
    <cellStyle name="40% - Accent6 2" xfId="208" xr:uid="{00000000-0005-0000-0000-0000CF000000}"/>
    <cellStyle name="40% - Accent6 2 2" xfId="209" xr:uid="{00000000-0005-0000-0000-0000D0000000}"/>
    <cellStyle name="40% - Accent6 2 2 2" xfId="2897" xr:uid="{77C0C33D-9FB1-454F-B341-6D3148BEF8A1}"/>
    <cellStyle name="40% - Accent6 2 3" xfId="210" xr:uid="{00000000-0005-0000-0000-0000D1000000}"/>
    <cellStyle name="40% - Accent6 2 3 2" xfId="2898" xr:uid="{0A27381A-8DD7-4EF3-8402-A8061BD57E2A}"/>
    <cellStyle name="40% - Accent6 2 4" xfId="2896" xr:uid="{5E3BADEA-A441-4AE3-960D-E3AA68FB086A}"/>
    <cellStyle name="40% - Accent6 3" xfId="211" xr:uid="{00000000-0005-0000-0000-0000D2000000}"/>
    <cellStyle name="40% - Accent6 3 2" xfId="2899" xr:uid="{99C7916A-1241-4367-A27E-9D16F3837EF8}"/>
    <cellStyle name="40% - Accent6 4" xfId="212" xr:uid="{00000000-0005-0000-0000-0000D3000000}"/>
    <cellStyle name="40% - Accent6 4 2" xfId="2900" xr:uid="{DC0C88FD-1A73-4656-9578-0EEA8F8EE75E}"/>
    <cellStyle name="40% - Accent6 5" xfId="213" xr:uid="{00000000-0005-0000-0000-0000D4000000}"/>
    <cellStyle name="40% - Accent6 5 2" xfId="2901" xr:uid="{829CA0CE-42D7-462C-B793-FC7254369B2A}"/>
    <cellStyle name="40% - Accent6 6" xfId="214" xr:uid="{00000000-0005-0000-0000-0000D5000000}"/>
    <cellStyle name="40% - Accent6 6 2" xfId="2902" xr:uid="{2450335A-CDE7-43A1-8CDB-5498027B9045}"/>
    <cellStyle name="40% - Accent6 7" xfId="215" xr:uid="{00000000-0005-0000-0000-0000D6000000}"/>
    <cellStyle name="40% - Accent6 7 2" xfId="2903" xr:uid="{841A60D0-B7AC-4674-8102-AA34D960AE93}"/>
    <cellStyle name="40% - Accent6 8" xfId="216" xr:uid="{00000000-0005-0000-0000-0000D7000000}"/>
    <cellStyle name="40% - Accent6 8 2" xfId="2904" xr:uid="{B88A6CEA-1BA6-4BA7-9E33-54DDBAEAEBE6}"/>
    <cellStyle name="40% - Accent6 9" xfId="217" xr:uid="{00000000-0005-0000-0000-0000D8000000}"/>
    <cellStyle name="40% - Accent6 9 2" xfId="2905" xr:uid="{4073934F-0C94-40C3-B342-25E37C18AB7D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3" xfId="3284" xr:uid="{F2DD8B58-14AF-4015-B7F7-D8BA26B23B8E}"/>
    <cellStyle name="Calculation 11" xfId="470" xr:uid="{00000000-0005-0000-0000-0000D5010000}"/>
    <cellStyle name="Calculation 11 2" xfId="471" xr:uid="{00000000-0005-0000-0000-0000D6010000}"/>
    <cellStyle name="Calculation 11 3" xfId="3283" xr:uid="{D041EBE5-7A88-4928-809E-5C2A0019279D}"/>
    <cellStyle name="Calculation 12" xfId="472" xr:uid="{00000000-0005-0000-0000-0000D7010000}"/>
    <cellStyle name="Calculation 12 2" xfId="473" xr:uid="{00000000-0005-0000-0000-0000D8010000}"/>
    <cellStyle name="Calculation 12 3" xfId="2695" xr:uid="{87356B79-A682-4868-B9CB-A9CE81406BEE}"/>
    <cellStyle name="Calculation 13" xfId="474" xr:uid="{00000000-0005-0000-0000-0000D9010000}"/>
    <cellStyle name="Calculation 13 2" xfId="475" xr:uid="{00000000-0005-0000-0000-0000DA010000}"/>
    <cellStyle name="Calculation 13 3" xfId="2701" xr:uid="{7BDBF27B-0B24-42DE-950A-5CB8F257A73A}"/>
    <cellStyle name="Calculation 14" xfId="476" xr:uid="{00000000-0005-0000-0000-0000DB010000}"/>
    <cellStyle name="Calculation 14 2" xfId="477" xr:uid="{00000000-0005-0000-0000-0000DC010000}"/>
    <cellStyle name="Calculation 14 3" xfId="3274" xr:uid="{13C8CEC4-72E8-4D9E-BDE1-2064BB8B990A}"/>
    <cellStyle name="Calculation 15" xfId="478" xr:uid="{00000000-0005-0000-0000-0000DD010000}"/>
    <cellStyle name="Calculation 15 2" xfId="479" xr:uid="{00000000-0005-0000-0000-0000DE010000}"/>
    <cellStyle name="Calculation 15 3" xfId="3272" xr:uid="{8F90CC07-A594-42C8-9F5F-189E31AFBF17}"/>
    <cellStyle name="Calculation 16" xfId="480" xr:uid="{00000000-0005-0000-0000-0000DF010000}"/>
    <cellStyle name="Calculation 16 2" xfId="481" xr:uid="{00000000-0005-0000-0000-0000E0010000}"/>
    <cellStyle name="Calculation 16 3" xfId="3271" xr:uid="{CF42A428-24AD-44AB-898E-7EC290B7EBAC}"/>
    <cellStyle name="Calculation 17" xfId="3437" xr:uid="{3FEF5AE5-3CCE-4BDE-986F-DEF00146F594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2 3" xfId="3269" xr:uid="{3AFD589D-568E-4014-87D3-C41D2AF8D61D}"/>
    <cellStyle name="Calculation 2 3" xfId="485" xr:uid="{00000000-0005-0000-0000-0000E4010000}"/>
    <cellStyle name="Calculation 2 3 2" xfId="486" xr:uid="{00000000-0005-0000-0000-0000E5010000}"/>
    <cellStyle name="Calculation 2 3 3" xfId="3268" xr:uid="{C68AC2CF-8F9E-4641-9332-96201E00D1A0}"/>
    <cellStyle name="Calculation 2 4" xfId="487" xr:uid="{00000000-0005-0000-0000-0000E6010000}"/>
    <cellStyle name="Calculation 2 5" xfId="3270" xr:uid="{5B8C45EC-120D-4DD4-B06E-A319E93B1838}"/>
    <cellStyle name="Calculation 3" xfId="488" xr:uid="{00000000-0005-0000-0000-0000E7010000}"/>
    <cellStyle name="Calculation 3 2" xfId="489" xr:uid="{00000000-0005-0000-0000-0000E8010000}"/>
    <cellStyle name="Calculation 3 3" xfId="3267" xr:uid="{975B41DF-005A-497B-A7A4-4E1EF6DCE546}"/>
    <cellStyle name="Calculation 4" xfId="490" xr:uid="{00000000-0005-0000-0000-0000E9010000}"/>
    <cellStyle name="Calculation 4 2" xfId="491" xr:uid="{00000000-0005-0000-0000-0000EA010000}"/>
    <cellStyle name="Calculation 4 3" xfId="3266" xr:uid="{AAB09BC6-2088-4F0D-BA08-C40263E3A8F6}"/>
    <cellStyle name="Calculation 5" xfId="492" xr:uid="{00000000-0005-0000-0000-0000EB010000}"/>
    <cellStyle name="Calculation 5 2" xfId="493" xr:uid="{00000000-0005-0000-0000-0000EC010000}"/>
    <cellStyle name="Calculation 5 3" xfId="2694" xr:uid="{8EAD1570-C719-411D-BAC5-3AB6D08A6AA1}"/>
    <cellStyle name="Calculation 6" xfId="494" xr:uid="{00000000-0005-0000-0000-0000ED010000}"/>
    <cellStyle name="Calculation 6 2" xfId="495" xr:uid="{00000000-0005-0000-0000-0000EE010000}"/>
    <cellStyle name="Calculation 6 3" xfId="2693" xr:uid="{59F118EE-4357-4EC7-BB60-C862DF90B27F}"/>
    <cellStyle name="Calculation 7" xfId="496" xr:uid="{00000000-0005-0000-0000-0000EF010000}"/>
    <cellStyle name="Calculation 7 2" xfId="497" xr:uid="{00000000-0005-0000-0000-0000F0010000}"/>
    <cellStyle name="Calculation 7 3" xfId="3264" xr:uid="{70735749-B1EE-4DDC-8265-C4651C83F8B6}"/>
    <cellStyle name="Calculation 8" xfId="498" xr:uid="{00000000-0005-0000-0000-0000F1010000}"/>
    <cellStyle name="Calculation 8 2" xfId="499" xr:uid="{00000000-0005-0000-0000-0000F2010000}"/>
    <cellStyle name="Calculation 8 3" xfId="3263" xr:uid="{6EC1410A-A3B4-4FA3-910D-1D670A660016}"/>
    <cellStyle name="Calculation 9" xfId="500" xr:uid="{00000000-0005-0000-0000-0000F3010000}"/>
    <cellStyle name="Calculation 9 2" xfId="501" xr:uid="{00000000-0005-0000-0000-0000F4010000}"/>
    <cellStyle name="Calculation 9 3" xfId="3262" xr:uid="{518FD5AB-60A8-4B5D-B7BB-D23D20146064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700" xr:uid="{04F6C03F-DE02-4F49-AFBB-9C0EAF4223B1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34" xr:uid="{6539E243-BFCE-4C71-84D7-8FA16FEF62B6}"/>
    <cellStyle name="Comma [0] 11 3" xfId="535" xr:uid="{00000000-0005-0000-0000-000017020000}"/>
    <cellStyle name="Comma [0] 11 4" xfId="2933" xr:uid="{566A5207-0818-4914-BE71-6C42206842F9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36" xr:uid="{EB20D835-AC4B-443E-A1A8-D8BF3C517305}"/>
    <cellStyle name="Comma [0] 12 3" xfId="539" xr:uid="{00000000-0005-0000-0000-00001B020000}"/>
    <cellStyle name="Comma [0] 12 3 2" xfId="540" xr:uid="{00000000-0005-0000-0000-00001C020000}"/>
    <cellStyle name="Comma [0] 12 3 3" xfId="2937" xr:uid="{7A4A195D-CCC9-4773-BAE7-76E106E366B0}"/>
    <cellStyle name="Comma [0] 12 4" xfId="2935" xr:uid="{654CFED5-A89D-4634-A95D-60DCC8B8EDD6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38" xr:uid="{3D7205B6-0B57-4B16-A732-6EC36527007A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40" xr:uid="{83046498-4EFC-4309-9C97-A30F1C50E9CC}"/>
    <cellStyle name="Comma [0] 15 3" xfId="2939" xr:uid="{0892FF9E-1FC9-48DF-92E9-BCCB96920C2E}"/>
    <cellStyle name="Comma [0] 15_Book2" xfId="550" xr:uid="{00000000-0005-0000-0000-000026020000}"/>
    <cellStyle name="Comma [0] 16" xfId="551" xr:uid="{00000000-0005-0000-0000-000027020000}"/>
    <cellStyle name="Comma [0] 16 2" xfId="2941" xr:uid="{43DBC17A-BDF3-49DE-8102-0F622CD9ACAE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43" xr:uid="{AF299037-F559-4B3C-84E7-555ECC906A77}"/>
    <cellStyle name="Comma [0] 18 3" xfId="557" xr:uid="{00000000-0005-0000-0000-00002D020000}"/>
    <cellStyle name="Comma [0] 18 4" xfId="2942" xr:uid="{85A144CD-2132-4D70-8FE4-EC7EF4FAF525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45" xr:uid="{B85C1067-5099-4819-8E75-F2B9CD931F70}"/>
    <cellStyle name="Comma [0] 19 3" xfId="561" xr:uid="{00000000-0005-0000-0000-000031020000}"/>
    <cellStyle name="Comma [0] 19 4" xfId="2944" xr:uid="{ED2691F3-7A4D-4D33-A8BD-26206E9776F1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46" xr:uid="{9131B938-BEB2-4171-929B-DA1797B4EE15}"/>
    <cellStyle name="Comma [0] 2 11" xfId="566" xr:uid="{00000000-0005-0000-0000-000036020000}"/>
    <cellStyle name="Comma [0] 2 11 2" xfId="2947" xr:uid="{1AAE95C4-7E46-40E1-8F19-71E204B4D231}"/>
    <cellStyle name="Comma [0] 2 12" xfId="567" xr:uid="{00000000-0005-0000-0000-000037020000}"/>
    <cellStyle name="Comma [0] 2 13" xfId="2691" xr:uid="{9842FA5D-D031-43C8-9A8D-178DEBAC7B45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54" xr:uid="{1EB75A5B-47EB-4E00-89A9-827D2FA9CDC0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55" xr:uid="{37B79493-2301-4D6A-BBD6-C1EE43783ADF}"/>
    <cellStyle name="Comma [0] 2 2 2 2 2 2 2 4" xfId="2953" xr:uid="{945F6A06-09EE-4AEB-99F1-C9D1A663E67D}"/>
    <cellStyle name="Comma [0] 2 2 2 2 2 2 3" xfId="578" xr:uid="{00000000-0005-0000-0000-000042020000}"/>
    <cellStyle name="Comma [0] 2 2 2 2 2 2 3 2" xfId="2956" xr:uid="{555148DE-83A9-4E06-B709-063BCDA4549A}"/>
    <cellStyle name="Comma [0] 2 2 2 2 2 2 4" xfId="579" xr:uid="{00000000-0005-0000-0000-000043020000}"/>
    <cellStyle name="Comma [0] 2 2 2 2 2 2 5" xfId="2952" xr:uid="{E89A6872-6A0D-4B5F-93D5-18580D751622}"/>
    <cellStyle name="Comma [0] 2 2 2 2 2 3" xfId="580" xr:uid="{00000000-0005-0000-0000-000044020000}"/>
    <cellStyle name="Comma [0] 2 2 2 2 2 3 2" xfId="581" xr:uid="{00000000-0005-0000-0000-000045020000}"/>
    <cellStyle name="Comma [0] 2 2 2 2 2 3 3" xfId="2957" xr:uid="{F3B2BE81-88F0-4744-B91F-FB51380F9153}"/>
    <cellStyle name="Comma [0] 2 2 2 2 2 4" xfId="582" xr:uid="{00000000-0005-0000-0000-000046020000}"/>
    <cellStyle name="Comma [0] 2 2 2 2 2 4 2" xfId="583" xr:uid="{00000000-0005-0000-0000-000047020000}"/>
    <cellStyle name="Comma [0] 2 2 2 2 2 4 3" xfId="2958" xr:uid="{82DE819F-CE77-4084-A532-6BBF3BCBFEE6}"/>
    <cellStyle name="Comma [0] 2 2 2 2 2 5" xfId="2951" xr:uid="{063B7A6D-6995-48FE-929A-28A980FCD64C}"/>
    <cellStyle name="Comma [0] 2 2 2 2 3" xfId="584" xr:uid="{00000000-0005-0000-0000-000048020000}"/>
    <cellStyle name="Comma [0] 2 2 2 2 3 2" xfId="2959" xr:uid="{A6497DE8-6122-488D-BF35-6D4AEFC94E7B}"/>
    <cellStyle name="Comma [0] 2 2 2 2 4" xfId="585" xr:uid="{00000000-0005-0000-0000-000049020000}"/>
    <cellStyle name="Comma [0] 2 2 2 2 4 2" xfId="2960" xr:uid="{2A4CCFF9-BD58-4926-9E43-C08614010564}"/>
    <cellStyle name="Comma [0] 2 2 2 2 5" xfId="586" xr:uid="{00000000-0005-0000-0000-00004A020000}"/>
    <cellStyle name="Comma [0] 2 2 2 2 6" xfId="2950" xr:uid="{0371477F-6C83-4E40-B576-6245D09EEBA1}"/>
    <cellStyle name="Comma [0] 2 2 2 3" xfId="587" xr:uid="{00000000-0005-0000-0000-00004B020000}"/>
    <cellStyle name="Comma [0] 2 2 2 3 2" xfId="588" xr:uid="{00000000-0005-0000-0000-00004C020000}"/>
    <cellStyle name="Comma [0] 2 2 2 3 3" xfId="2961" xr:uid="{4FD21697-3589-40D2-A2D0-63F0E5497D18}"/>
    <cellStyle name="Comma [0] 2 2 2 4" xfId="589" xr:uid="{00000000-0005-0000-0000-00004D020000}"/>
    <cellStyle name="Comma [0] 2 2 2 4 2" xfId="590" xr:uid="{00000000-0005-0000-0000-00004E020000}"/>
    <cellStyle name="Comma [0] 2 2 2 4 3" xfId="2962" xr:uid="{4AEB4393-F4FD-488E-A33A-007FC1EDCF88}"/>
    <cellStyle name="Comma [0] 2 2 2 5" xfId="591" xr:uid="{00000000-0005-0000-0000-00004F020000}"/>
    <cellStyle name="Comma [0] 2 2 2 5 2" xfId="592" xr:uid="{00000000-0005-0000-0000-000050020000}"/>
    <cellStyle name="Comma [0] 2 2 2 5 3" xfId="2963" xr:uid="{EB055322-F2E2-4CA2-BEC8-F9005BBFE7F5}"/>
    <cellStyle name="Comma [0] 2 2 2 6" xfId="593" xr:uid="{00000000-0005-0000-0000-000051020000}"/>
    <cellStyle name="Comma [0] 2 2 2 7" xfId="2949" xr:uid="{C911442A-DDDE-4A8F-BEEE-B0A6285A2052}"/>
    <cellStyle name="Comma [0] 2 2 3" xfId="594" xr:uid="{00000000-0005-0000-0000-000052020000}"/>
    <cellStyle name="Comma [0] 2 2 3 2" xfId="2964" xr:uid="{8EF251A8-A648-46D3-B99D-D987F4683354}"/>
    <cellStyle name="Comma [0] 2 2 4" xfId="595" xr:uid="{00000000-0005-0000-0000-000053020000}"/>
    <cellStyle name="Comma [0] 2 2 4 2" xfId="2965" xr:uid="{62500905-7AF7-4FB3-9110-17F8A15FD62F}"/>
    <cellStyle name="Comma [0] 2 2 5" xfId="596" xr:uid="{00000000-0005-0000-0000-000054020000}"/>
    <cellStyle name="Comma [0] 2 2 5 2" xfId="2966" xr:uid="{469552EE-DADF-408E-BE29-089B7379150B}"/>
    <cellStyle name="Comma [0] 2 2 6" xfId="597" xr:uid="{00000000-0005-0000-0000-000055020000}"/>
    <cellStyle name="Comma [0] 2 2 6 2" xfId="598" xr:uid="{00000000-0005-0000-0000-000056020000}"/>
    <cellStyle name="Comma [0] 2 2 6 3" xfId="2967" xr:uid="{F33265BA-55B4-465E-98A8-BD57A05F238A}"/>
    <cellStyle name="Comma [0] 2 2 7" xfId="2948" xr:uid="{BD8C72A4-E65A-45CD-A80B-4873D6EFFF3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71" xr:uid="{26A390EF-794B-4118-B8C4-A4F9BE7392AE}"/>
    <cellStyle name="Comma [0] 2 3 2 2 3" xfId="603" xr:uid="{00000000-0005-0000-0000-00005B020000}"/>
    <cellStyle name="Comma [0] 2 3 2 2 3 2" xfId="2972" xr:uid="{7D6AA806-FFD9-42D3-8837-6DEA6155E35C}"/>
    <cellStyle name="Comma [0] 2 3 2 2 4" xfId="604" xr:uid="{00000000-0005-0000-0000-00005C020000}"/>
    <cellStyle name="Comma [0] 2 3 2 2 4 2" xfId="2973" xr:uid="{D351D41F-106F-4944-ADFF-67A149656C8E}"/>
    <cellStyle name="Comma [0] 2 3 2 2 5" xfId="2970" xr:uid="{7A6D1BA7-4154-4D33-8D3B-765846F730E3}"/>
    <cellStyle name="Comma [0] 2 3 2 3" xfId="605" xr:uid="{00000000-0005-0000-0000-00005D020000}"/>
    <cellStyle name="Comma [0] 2 3 2 3 2" xfId="2974" xr:uid="{0E223613-AD67-4D2E-8B3F-8BE0F77EEFBC}"/>
    <cellStyle name="Comma [0] 2 3 2 4" xfId="606" xr:uid="{00000000-0005-0000-0000-00005E020000}"/>
    <cellStyle name="Comma [0] 2 3 2 4 2" xfId="2975" xr:uid="{F0A57343-65AB-448D-BE75-07037CFACD39}"/>
    <cellStyle name="Comma [0] 2 3 2 5" xfId="607" xr:uid="{00000000-0005-0000-0000-00005F020000}"/>
    <cellStyle name="Comma [0] 2 3 2 5 2" xfId="2976" xr:uid="{3C4E7837-E0AD-4175-9371-CB68AA8F6A1A}"/>
    <cellStyle name="Comma [0] 2 3 2 6" xfId="608" xr:uid="{00000000-0005-0000-0000-000060020000}"/>
    <cellStyle name="Comma [0] 2 3 2 7" xfId="2969" xr:uid="{4192C8BD-C122-4EF9-9AC1-2EC004309BD0}"/>
    <cellStyle name="Comma [0] 2 3 3" xfId="609" xr:uid="{00000000-0005-0000-0000-000061020000}"/>
    <cellStyle name="Comma [0] 2 3 3 2" xfId="2977" xr:uid="{1537831A-B570-414F-A958-7C252EC2F26E}"/>
    <cellStyle name="Comma [0] 2 3 4" xfId="610" xr:uid="{00000000-0005-0000-0000-000062020000}"/>
    <cellStyle name="Comma [0] 2 3 4 2" xfId="2978" xr:uid="{16FF71BE-0A1B-4D2B-B2A4-CA7411083F54}"/>
    <cellStyle name="Comma [0] 2 3 5" xfId="611" xr:uid="{00000000-0005-0000-0000-000063020000}"/>
    <cellStyle name="Comma [0] 2 3 5 2" xfId="2979" xr:uid="{FA387D3B-76FB-4202-AF49-59A8111F69A0}"/>
    <cellStyle name="Comma [0] 2 3 6" xfId="612" xr:uid="{00000000-0005-0000-0000-000064020000}"/>
    <cellStyle name="Comma [0] 2 3 6 2" xfId="2980" xr:uid="{CB665A94-7C7B-47A5-8591-C62534DB3714}"/>
    <cellStyle name="Comma [0] 2 3 7" xfId="613" xr:uid="{00000000-0005-0000-0000-000065020000}"/>
    <cellStyle name="Comma [0] 2 3 8" xfId="614" xr:uid="{00000000-0005-0000-0000-000066020000}"/>
    <cellStyle name="Comma [0] 2 3 9" xfId="2968" xr:uid="{6DB23EFB-1FE4-402D-8F98-036C390C5BBD}"/>
    <cellStyle name="Comma [0] 2 4" xfId="615" xr:uid="{00000000-0005-0000-0000-000067020000}"/>
    <cellStyle name="Comma [0] 2 4 2" xfId="616" xr:uid="{00000000-0005-0000-0000-000068020000}"/>
    <cellStyle name="Comma [0] 2 4 2 2" xfId="2981" xr:uid="{642B9CE0-D852-4AD0-8147-5560C5508CD0}"/>
    <cellStyle name="Comma [0] 2 4 3" xfId="617" xr:uid="{00000000-0005-0000-0000-000069020000}"/>
    <cellStyle name="Comma [0] 2 4 3 2" xfId="2982" xr:uid="{03F573BC-0808-47F2-A5AA-E38EB03F7686}"/>
    <cellStyle name="Comma [0] 2 4 4" xfId="618" xr:uid="{00000000-0005-0000-0000-00006A020000}"/>
    <cellStyle name="Comma [0] 2 4 4 2" xfId="2983" xr:uid="{91E0FCCF-A95F-410E-BBD6-0E9E36E1B8F5}"/>
    <cellStyle name="Comma [0] 2 4 5" xfId="619" xr:uid="{00000000-0005-0000-0000-00006B020000}"/>
    <cellStyle name="Comma [0] 2 4 5 2" xfId="620" xr:uid="{00000000-0005-0000-0000-00006C020000}"/>
    <cellStyle name="Comma [0] 2 4 5 3" xfId="2984" xr:uid="{07F03BD6-AE77-48FC-A447-85150DEC214D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86" xr:uid="{5833CCA5-65DF-426D-9D97-D9AE6CCC3B4C}"/>
    <cellStyle name="Comma [0] 2 5 3" xfId="624" xr:uid="{00000000-0005-0000-0000-000070020000}"/>
    <cellStyle name="Comma [0] 2 5 3 2" xfId="2987" xr:uid="{8FFF93CF-595A-4D4A-8F62-1A4174F317B0}"/>
    <cellStyle name="Comma [0] 2 5 4" xfId="625" xr:uid="{00000000-0005-0000-0000-000071020000}"/>
    <cellStyle name="Comma [0] 2 5 4 2" xfId="2988" xr:uid="{85293712-35EF-4E76-BF5E-A3A0BB27050B}"/>
    <cellStyle name="Comma [0] 2 5 5" xfId="2985" xr:uid="{9C9B7F28-F693-4CF7-B656-2814B39FC259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94" xr:uid="{07438A39-95E7-4C38-8442-368DEC8F009C}"/>
    <cellStyle name="Comma [0] 2 6 2 2 2 2 3" xfId="632" xr:uid="{00000000-0005-0000-0000-000078020000}"/>
    <cellStyle name="Comma [0] 2 6 2 2 2 2 3 2" xfId="2995" xr:uid="{B96A0D85-6EF2-4B28-8168-1F505410021B}"/>
    <cellStyle name="Comma [0] 2 6 2 2 2 2 4" xfId="633" xr:uid="{00000000-0005-0000-0000-000079020000}"/>
    <cellStyle name="Comma [0] 2 6 2 2 2 2 4 2" xfId="2996" xr:uid="{65AE10B1-AF4D-46BA-8DCB-65C791B813C3}"/>
    <cellStyle name="Comma [0] 2 6 2 2 2 2 5" xfId="634" xr:uid="{00000000-0005-0000-0000-00007A020000}"/>
    <cellStyle name="Comma [0] 2 6 2 2 2 2 5 2" xfId="2997" xr:uid="{FBA3E10E-363C-4CC6-827D-AD334C98BD5F}"/>
    <cellStyle name="Comma [0] 2 6 2 2 2 2 6" xfId="2993" xr:uid="{BE5DBFD3-DF2A-4633-8CEF-609AA2C0090B}"/>
    <cellStyle name="Comma [0] 2 6 2 2 2 3" xfId="635" xr:uid="{00000000-0005-0000-0000-00007B020000}"/>
    <cellStyle name="Comma [0] 2 6 2 2 2 3 2" xfId="2998" xr:uid="{D518C770-A077-460F-B8B3-1FD243DBF47A}"/>
    <cellStyle name="Comma [0] 2 6 2 2 2 4" xfId="636" xr:uid="{00000000-0005-0000-0000-00007C020000}"/>
    <cellStyle name="Comma [0] 2 6 2 2 2 4 2" xfId="2999" xr:uid="{6F0E3D0D-380D-4720-8677-2F8DE0011B1A}"/>
    <cellStyle name="Comma [0] 2 6 2 2 2 5" xfId="637" xr:uid="{00000000-0005-0000-0000-00007D020000}"/>
    <cellStyle name="Comma [0] 2 6 2 2 2 5 2" xfId="3000" xr:uid="{20BA6D6F-1191-4F4C-BEA7-51E7D8B3D8C7}"/>
    <cellStyle name="Comma [0] 2 6 2 2 2 6" xfId="2992" xr:uid="{C7F61E24-BBE6-4ABC-8FB6-8C0BC5A6B8E1}"/>
    <cellStyle name="Comma [0] 2 6 2 2 3" xfId="638" xr:uid="{00000000-0005-0000-0000-00007E020000}"/>
    <cellStyle name="Comma [0] 2 6 2 2 3 2" xfId="3001" xr:uid="{3F747AE9-1931-4563-B265-8B51B900F7F7}"/>
    <cellStyle name="Comma [0] 2 6 2 2 4" xfId="639" xr:uid="{00000000-0005-0000-0000-00007F020000}"/>
    <cellStyle name="Comma [0] 2 6 2 2 4 2" xfId="3002" xr:uid="{D6C72E52-1C0C-4DC0-B51D-C61E868CF0EA}"/>
    <cellStyle name="Comma [0] 2 6 2 2 5" xfId="640" xr:uid="{00000000-0005-0000-0000-000080020000}"/>
    <cellStyle name="Comma [0] 2 6 2 2 5 2" xfId="3003" xr:uid="{DC5170A1-5E13-4512-AC25-2081CC4A7AB6}"/>
    <cellStyle name="Comma [0] 2 6 2 2 6" xfId="2991" xr:uid="{1C27C4F7-41B3-4535-8ED8-FF49C7BCA9AC}"/>
    <cellStyle name="Comma [0] 2 6 2 3" xfId="641" xr:uid="{00000000-0005-0000-0000-000081020000}"/>
    <cellStyle name="Comma [0] 2 6 2 3 2" xfId="3004" xr:uid="{6866CC9B-0839-4E0D-B1BF-6B313E83A3C1}"/>
    <cellStyle name="Comma [0] 2 6 2 4" xfId="642" xr:uid="{00000000-0005-0000-0000-000082020000}"/>
    <cellStyle name="Comma [0] 2 6 2 4 2" xfId="3005" xr:uid="{DBDF41A1-C596-4FF6-971D-C23A3AE7254C}"/>
    <cellStyle name="Comma [0] 2 6 2 5" xfId="643" xr:uid="{00000000-0005-0000-0000-000083020000}"/>
    <cellStyle name="Comma [0] 2 6 2 5 2" xfId="3006" xr:uid="{B86C9AFF-4617-43D5-A41A-E5444BCB2580}"/>
    <cellStyle name="Comma [0] 2 6 2 6" xfId="2990" xr:uid="{72917719-44EE-466D-9887-E33D6EB27D86}"/>
    <cellStyle name="Comma [0] 2 6 3" xfId="644" xr:uid="{00000000-0005-0000-0000-000084020000}"/>
    <cellStyle name="Comma [0] 2 6 3 2" xfId="3007" xr:uid="{AE520881-FFEF-4BB2-B261-41E0023AF28B}"/>
    <cellStyle name="Comma [0] 2 6 4" xfId="645" xr:uid="{00000000-0005-0000-0000-000085020000}"/>
    <cellStyle name="Comma [0] 2 6 4 2" xfId="3008" xr:uid="{E2687CD6-76AD-4DC5-9CCA-B597D73788C9}"/>
    <cellStyle name="Comma [0] 2 6 5" xfId="646" xr:uid="{00000000-0005-0000-0000-000086020000}"/>
    <cellStyle name="Comma [0] 2 6 5 2" xfId="3009" xr:uid="{EFEFA1F2-2E28-4FBF-95AB-D9AFF99B648D}"/>
    <cellStyle name="Comma [0] 2 6 6" xfId="2989" xr:uid="{A05E345F-700E-4BDC-8E09-E44F8A0275F5}"/>
    <cellStyle name="Comma [0] 2 7" xfId="647" xr:uid="{00000000-0005-0000-0000-000087020000}"/>
    <cellStyle name="Comma [0] 2 7 2" xfId="648" xr:uid="{00000000-0005-0000-0000-000088020000}"/>
    <cellStyle name="Comma [0] 2 7 3" xfId="3010" xr:uid="{FCF05C73-E664-494A-9B5E-B049ABC0FDCE}"/>
    <cellStyle name="Comma [0] 2 8" xfId="649" xr:uid="{00000000-0005-0000-0000-000089020000}"/>
    <cellStyle name="Comma [0] 2 8 2" xfId="3011" xr:uid="{1303E69D-C6A9-4895-BA0C-117F17A40B11}"/>
    <cellStyle name="Comma [0] 2 9" xfId="650" xr:uid="{00000000-0005-0000-0000-00008A020000}"/>
    <cellStyle name="Comma [0] 2 9 2" xfId="3012" xr:uid="{7AB9292F-E7A0-4EB1-8F01-AAFAEADDC1FA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13" xr:uid="{3DA11D55-00D9-4CE3-BD5C-F4B0D93BC21A}"/>
    <cellStyle name="Comma [0] 23" xfId="656" xr:uid="{00000000-0005-0000-0000-000090020000}"/>
    <cellStyle name="Comma [0] 23 2" xfId="3014" xr:uid="{3E73766F-055C-4F9F-9AFE-9F7180DD1773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3016" xr:uid="{146C830E-27BB-481D-B98D-0E566C34B715}"/>
    <cellStyle name="Comma [0] 24 3" xfId="660" xr:uid="{00000000-0005-0000-0000-000094020000}"/>
    <cellStyle name="Comma [0] 24 4" xfId="3015" xr:uid="{C053FF0F-1A91-4372-A8F1-15E0BDCC1628}"/>
    <cellStyle name="Comma [0] 25" xfId="661" xr:uid="{00000000-0005-0000-0000-000095020000}"/>
    <cellStyle name="Comma [0] 25 2" xfId="3017" xr:uid="{52AAE49F-75E2-4BDA-89EB-766A067D489F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3018" xr:uid="{64CA2C98-F690-4C2D-AE64-3EAD0CB87D0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20" xr:uid="{49AA06DB-3187-4C54-91AB-B8ADB736BD7D}"/>
    <cellStyle name="Comma [0] 3 2 3" xfId="668" xr:uid="{00000000-0005-0000-0000-00009C020000}"/>
    <cellStyle name="Comma [0] 3 2 4" xfId="3019" xr:uid="{A1077D7F-E055-4ECF-9805-8F6571E43CB9}"/>
    <cellStyle name="Comma [0] 3 3" xfId="669" xr:uid="{00000000-0005-0000-0000-00009D020000}"/>
    <cellStyle name="Comma [0] 3 4" xfId="2698" xr:uid="{FA50B6D5-1668-4592-BA67-B64EF5EE910E}"/>
    <cellStyle name="Comma [0] 32" xfId="670" xr:uid="{00000000-0005-0000-0000-00009E020000}"/>
    <cellStyle name="Comma [0] 32 2" xfId="671" xr:uid="{00000000-0005-0000-0000-00009F020000}"/>
    <cellStyle name="Comma [0] 32 3" xfId="3021" xr:uid="{BCE6C970-A69B-49AF-BBE3-8B67F619D8D9}"/>
    <cellStyle name="Comma [0] 35" xfId="672" xr:uid="{00000000-0005-0000-0000-0000A0020000}"/>
    <cellStyle name="Comma [0] 35 2" xfId="3022" xr:uid="{48BF8116-4B29-43F9-9F99-3792585C32FB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3024" xr:uid="{8D05F48E-C411-455F-B992-E8C746AE123E}"/>
    <cellStyle name="Comma [0] 4 3" xfId="676" xr:uid="{00000000-0005-0000-0000-0000A4020000}"/>
    <cellStyle name="Comma [0] 4 3 2" xfId="677" xr:uid="{00000000-0005-0000-0000-0000A5020000}"/>
    <cellStyle name="Comma [0] 4 3 3" xfId="3025" xr:uid="{1F722BDB-E510-4D66-A3BF-9AFD00C34799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3023" xr:uid="{F2AEB86E-C607-4E9C-9A82-16ED969F898E}"/>
    <cellStyle name="Comma [0] 5" xfId="682" xr:uid="{00000000-0005-0000-0000-0000AA020000}"/>
    <cellStyle name="Comma [0] 5 2" xfId="683" xr:uid="{00000000-0005-0000-0000-0000AB020000}"/>
    <cellStyle name="Comma [0] 5 2 2" xfId="3027" xr:uid="{9F2A4654-3AE2-4E96-B489-CA6CBCCFB2B2}"/>
    <cellStyle name="Comma [0] 5 3" xfId="684" xr:uid="{00000000-0005-0000-0000-0000AC020000}"/>
    <cellStyle name="Comma [0] 5 3 2" xfId="3028" xr:uid="{5AF8D4E0-C84F-4425-860D-30AF7B534BCB}"/>
    <cellStyle name="Comma [0] 5 4" xfId="3026" xr:uid="{468DF2BF-BCC2-48A6-9826-0D01ED87B71E}"/>
    <cellStyle name="Comma [0] 6" xfId="685" xr:uid="{00000000-0005-0000-0000-0000AD020000}"/>
    <cellStyle name="Comma [0] 6 2" xfId="686" xr:uid="{00000000-0005-0000-0000-0000AE020000}"/>
    <cellStyle name="Comma [0] 6 2 2" xfId="3030" xr:uid="{EE509D73-96C2-49D5-A3A4-50C36E11BDD9}"/>
    <cellStyle name="Comma [0] 6 3" xfId="687" xr:uid="{00000000-0005-0000-0000-0000AF020000}"/>
    <cellStyle name="Comma [0] 6 3 2" xfId="688" xr:uid="{00000000-0005-0000-0000-0000B0020000}"/>
    <cellStyle name="Comma [0] 6 3 3" xfId="3031" xr:uid="{4A716042-CB5C-4A22-AE42-DDCB37447FB7}"/>
    <cellStyle name="Comma [0] 6 4" xfId="3029" xr:uid="{0307C7DA-5C1F-4B77-A689-7808D14B015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3032" xr:uid="{C9D2D307-4760-41AF-93BC-8C49C679B8B9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34" xr:uid="{84691E84-CCE9-400C-A46F-D42181665844}"/>
    <cellStyle name="Comma [0] 8 3" xfId="696" xr:uid="{00000000-0005-0000-0000-0000B8020000}"/>
    <cellStyle name="Comma [0] 8 3 2" xfId="697" xr:uid="{00000000-0005-0000-0000-0000B9020000}"/>
    <cellStyle name="Comma [0] 8 3 3" xfId="3035" xr:uid="{34C76DDB-5CA1-4F5F-B341-85E7E4EE3E9E}"/>
    <cellStyle name="Comma [0] 8 4" xfId="698" xr:uid="{00000000-0005-0000-0000-0000BA020000}"/>
    <cellStyle name="Comma [0] 8 5" xfId="3033" xr:uid="{91BAB52A-6243-410A-A421-65395E2BA429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37" xr:uid="{D799181D-AF76-4618-8E0E-898D5A2C553B}"/>
    <cellStyle name="Comma [0] 9 3" xfId="702" xr:uid="{00000000-0005-0000-0000-0000BE020000}"/>
    <cellStyle name="Comma [0] 9 3 2" xfId="703" xr:uid="{00000000-0005-0000-0000-0000BF020000}"/>
    <cellStyle name="Comma [0] 9 3 3" xfId="3038" xr:uid="{877A5D83-BD3E-4BE2-B010-E5E4249FBC38}"/>
    <cellStyle name="Comma [0] 9 4" xfId="3036" xr:uid="{5290412D-4327-42F3-A2F0-39CE3780DAA7}"/>
    <cellStyle name="Comma [0] 90" xfId="704" xr:uid="{00000000-0005-0000-0000-0000C0020000}"/>
    <cellStyle name="Comma [0] 90 2" xfId="705" xr:uid="{00000000-0005-0000-0000-0000C1020000}"/>
    <cellStyle name="Comma [0] 90 3" xfId="3039" xr:uid="{1F065C39-91F6-492E-A01B-1DB2999A2EFA}"/>
    <cellStyle name="Comma [0] 91" xfId="706" xr:uid="{00000000-0005-0000-0000-0000C2020000}"/>
    <cellStyle name="Comma [0] 91 2" xfId="707" xr:uid="{00000000-0005-0000-0000-0000C3020000}"/>
    <cellStyle name="Comma [0] 91 3" xfId="3040" xr:uid="{C88CA28D-AAF5-4FF6-943F-E64FD6995E12}"/>
    <cellStyle name="Comma [0] 93" xfId="708" xr:uid="{00000000-0005-0000-0000-0000C4020000}"/>
    <cellStyle name="Comma [0] 93 2" xfId="709" xr:uid="{00000000-0005-0000-0000-0000C5020000}"/>
    <cellStyle name="Comma [0] 93 3" xfId="3041" xr:uid="{32D2002E-D41A-4DFE-9E32-AC648C081639}"/>
    <cellStyle name="Comma [0] 94" xfId="710" xr:uid="{00000000-0005-0000-0000-0000C6020000}"/>
    <cellStyle name="Comma [0] 94 2" xfId="711" xr:uid="{00000000-0005-0000-0000-0000C7020000}"/>
    <cellStyle name="Comma [0] 94 3" xfId="3042" xr:uid="{F1280B2C-9456-45F0-AC0D-EED5C6916061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438" xr:uid="{50D03027-382C-476F-912E-47D6AA67DC80}"/>
    <cellStyle name="Comma 10 2 2 3" xfId="3044" xr:uid="{460EBDB7-EBD9-450A-BB2C-E960E83BBB87}"/>
    <cellStyle name="Comma 10 2 3" xfId="718" xr:uid="{00000000-0005-0000-0000-0000CE020000}"/>
    <cellStyle name="Comma 10 2 4" xfId="3043" xr:uid="{323434B1-F074-4B48-B74A-88BFAB427554}"/>
    <cellStyle name="Comma 10 3" xfId="719" xr:uid="{00000000-0005-0000-0000-0000CF020000}"/>
    <cellStyle name="Comma 10 3 2" xfId="720" xr:uid="{00000000-0005-0000-0000-0000D0020000}"/>
    <cellStyle name="Comma 10 3 3" xfId="3045" xr:uid="{297AE709-90F0-4457-8604-5DF4AFDAF0BA}"/>
    <cellStyle name="Comma 10 4" xfId="721" xr:uid="{00000000-0005-0000-0000-0000D1020000}"/>
    <cellStyle name="Comma 10 4 2" xfId="722" xr:uid="{00000000-0005-0000-0000-0000D2020000}"/>
    <cellStyle name="Comma 10 4 3" xfId="3046" xr:uid="{915B59CE-7F00-4FB8-826E-A766149BE91E}"/>
    <cellStyle name="Comma 10 5" xfId="723" xr:uid="{00000000-0005-0000-0000-0000D3020000}"/>
    <cellStyle name="Comma 10 5 2" xfId="724" xr:uid="{00000000-0005-0000-0000-0000D4020000}"/>
    <cellStyle name="Comma 10 5 3" xfId="3047" xr:uid="{C5FCBC91-24C5-44F8-AC0C-AB6B84F8176F}"/>
    <cellStyle name="Comma 10 6" xfId="725" xr:uid="{00000000-0005-0000-0000-0000D5020000}"/>
    <cellStyle name="Comma 10 6 2" xfId="726" xr:uid="{00000000-0005-0000-0000-0000D6020000}"/>
    <cellStyle name="Comma 10 6 3" xfId="3048" xr:uid="{F3522249-4D54-4766-A26F-78C073D4E77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49" xr:uid="{870096B8-CEDE-4A75-8EE1-2627547FEA7E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51" xr:uid="{790B1E68-AD11-491D-B23B-0D27C6D21E77}"/>
    <cellStyle name="Comma 12 3" xfId="734" xr:uid="{00000000-0005-0000-0000-0000DE020000}"/>
    <cellStyle name="Comma 12 3 2" xfId="735" xr:uid="{00000000-0005-0000-0000-0000DF020000}"/>
    <cellStyle name="Comma 12 3 3" xfId="3052" xr:uid="{777F9CD6-9A08-4C86-9E12-20C4D342D317}"/>
    <cellStyle name="Comma 12 4" xfId="736" xr:uid="{00000000-0005-0000-0000-0000E0020000}"/>
    <cellStyle name="Comma 12 4 2" xfId="737" xr:uid="{00000000-0005-0000-0000-0000E1020000}"/>
    <cellStyle name="Comma 12 4 3" xfId="3053" xr:uid="{1E07DC1D-898C-44C8-BAB7-C698CC0780F1}"/>
    <cellStyle name="Comma 12 5" xfId="738" xr:uid="{00000000-0005-0000-0000-0000E2020000}"/>
    <cellStyle name="Comma 12 5 2" xfId="739" xr:uid="{00000000-0005-0000-0000-0000E3020000}"/>
    <cellStyle name="Comma 12 5 3" xfId="3054" xr:uid="{235174E1-D935-4967-A3A4-75BC50E7F4AC}"/>
    <cellStyle name="Comma 12 6" xfId="740" xr:uid="{00000000-0005-0000-0000-0000E4020000}"/>
    <cellStyle name="Comma 12 6 2" xfId="741" xr:uid="{00000000-0005-0000-0000-0000E5020000}"/>
    <cellStyle name="Comma 12 6 3" xfId="3055" xr:uid="{310C9631-0246-4740-B7E9-C6FC12620015}"/>
    <cellStyle name="Comma 12 7" xfId="742" xr:uid="{00000000-0005-0000-0000-0000E6020000}"/>
    <cellStyle name="Comma 12 8" xfId="3050" xr:uid="{3CE0379B-1CF9-40EB-B2FB-8BED58DE2E01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57" xr:uid="{EF1135DD-EB5B-42EE-B65B-74E3C60EEB11}"/>
    <cellStyle name="Comma 13 3" xfId="746" xr:uid="{00000000-0005-0000-0000-0000EA020000}"/>
    <cellStyle name="Comma 13 4" xfId="3056" xr:uid="{E91B4526-6C7B-4093-AB55-62DCA4D9C8F9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60" xr:uid="{EC22B0C0-30D7-4987-A265-EED4DEBBED44}"/>
    <cellStyle name="Comma 14 2 3" xfId="751" xr:uid="{00000000-0005-0000-0000-0000EF020000}"/>
    <cellStyle name="Comma 14 2 4" xfId="3059" xr:uid="{33E5D4C5-A779-4D02-94F1-3662DA10BDD1}"/>
    <cellStyle name="Comma 14 3" xfId="752" xr:uid="{00000000-0005-0000-0000-0000F0020000}"/>
    <cellStyle name="Comma 14 4" xfId="3058" xr:uid="{622BA34C-1633-45D4-A02F-6B75D54CF4E9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62" xr:uid="{2B131E1E-46D2-4C2C-9E43-12ACD61D8555}"/>
    <cellStyle name="Comma 15 3" xfId="756" xr:uid="{00000000-0005-0000-0000-0000F4020000}"/>
    <cellStyle name="Comma 15 3 2" xfId="757" xr:uid="{00000000-0005-0000-0000-0000F5020000}"/>
    <cellStyle name="Comma 15 3 3" xfId="3063" xr:uid="{9A282FD0-FAA9-448B-AA40-9472F5007D61}"/>
    <cellStyle name="Comma 15 4" xfId="758" xr:uid="{00000000-0005-0000-0000-0000F6020000}"/>
    <cellStyle name="Comma 15 4 2" xfId="759" xr:uid="{00000000-0005-0000-0000-0000F7020000}"/>
    <cellStyle name="Comma 15 4 3" xfId="3064" xr:uid="{4B6F81CC-15AC-4D13-90DD-FA949FF003DC}"/>
    <cellStyle name="Comma 15 5" xfId="760" xr:uid="{00000000-0005-0000-0000-0000F8020000}"/>
    <cellStyle name="Comma 15 6" xfId="3061" xr:uid="{E46C9D39-B3FC-4AF0-887E-7F1A9575C217}"/>
    <cellStyle name="Comma 16" xfId="761" xr:uid="{00000000-0005-0000-0000-0000F9020000}"/>
    <cellStyle name="Comma 16 2" xfId="762" xr:uid="{00000000-0005-0000-0000-0000FA020000}"/>
    <cellStyle name="Comma 16 3" xfId="3065" xr:uid="{222249DE-20F9-4038-9CF1-17239A5C84A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67" xr:uid="{0A234071-C713-43EA-B886-C058DB6D762C}"/>
    <cellStyle name="Comma 17 3" xfId="3066" xr:uid="{0D1FCB9A-A566-4D96-AC36-F62221D9A3A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69" xr:uid="{C0C55C91-7CE2-481E-82F6-53C7C64B3028}"/>
    <cellStyle name="Comma 18 3" xfId="769" xr:uid="{00000000-0005-0000-0000-000001030000}"/>
    <cellStyle name="Comma 18 4" xfId="3068" xr:uid="{0CF1F246-478B-414D-86E7-0D2FF9DB1D28}"/>
    <cellStyle name="Comma 19" xfId="770" xr:uid="{00000000-0005-0000-0000-000002030000}"/>
    <cellStyle name="Comma 19 2" xfId="771" xr:uid="{00000000-0005-0000-0000-000003030000}"/>
    <cellStyle name="Comma 19 2 2" xfId="3071" xr:uid="{6487F03D-7E6C-4DC6-8E88-03A70809A750}"/>
    <cellStyle name="Comma 19 3" xfId="772" xr:uid="{00000000-0005-0000-0000-000004030000}"/>
    <cellStyle name="Comma 19 3 2" xfId="3072" xr:uid="{67077051-EF0A-44A7-B9CB-C648B124D54A}"/>
    <cellStyle name="Comma 19 4" xfId="773" xr:uid="{00000000-0005-0000-0000-000005030000}"/>
    <cellStyle name="Comma 19 4 2" xfId="3073" xr:uid="{55DA835E-9849-41A4-9C72-E8297D965151}"/>
    <cellStyle name="Comma 19 5" xfId="774" xr:uid="{00000000-0005-0000-0000-000006030000}"/>
    <cellStyle name="Comma 19 6" xfId="3070" xr:uid="{59A5C642-340C-4129-931C-386AB82748C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74" xr:uid="{6A6F6BCA-88BB-4A77-B8E1-B1BFBD995CC9}"/>
    <cellStyle name="Comma 2 11" xfId="778" xr:uid="{00000000-0005-0000-0000-00000A030000}"/>
    <cellStyle name="Comma 2 11 2" xfId="779" xr:uid="{00000000-0005-0000-0000-00000B030000}"/>
    <cellStyle name="Comma 2 11 3" xfId="3075" xr:uid="{FC7F179C-8595-4016-8FF9-A2493BC5F38C}"/>
    <cellStyle name="Comma 2 12" xfId="780" xr:uid="{00000000-0005-0000-0000-00000C030000}"/>
    <cellStyle name="Comma 2 12 2" xfId="781" xr:uid="{00000000-0005-0000-0000-00000D030000}"/>
    <cellStyle name="Comma 2 12 3" xfId="3076" xr:uid="{CFC07812-2E9B-4FB9-93E7-3FE7B4A69B07}"/>
    <cellStyle name="Comma 2 13" xfId="782" xr:uid="{00000000-0005-0000-0000-00000E030000}"/>
    <cellStyle name="Comma 2 13 2" xfId="783" xr:uid="{00000000-0005-0000-0000-00000F030000}"/>
    <cellStyle name="Comma 2 13 3" xfId="3077" xr:uid="{01A8C312-D746-4996-A6E3-F8B8CB71B34C}"/>
    <cellStyle name="Comma 2 14" xfId="784" xr:uid="{00000000-0005-0000-0000-000010030000}"/>
    <cellStyle name="Comma 2 14 2" xfId="785" xr:uid="{00000000-0005-0000-0000-000011030000}"/>
    <cellStyle name="Comma 2 14 3" xfId="3078" xr:uid="{FB7A896B-F997-467D-AD36-B9BB3A618C93}"/>
    <cellStyle name="Comma 2 15" xfId="786" xr:uid="{00000000-0005-0000-0000-000012030000}"/>
    <cellStyle name="Comma 2 15 2" xfId="787" xr:uid="{00000000-0005-0000-0000-000013030000}"/>
    <cellStyle name="Comma 2 15 3" xfId="3079" xr:uid="{ED4BB62E-97F2-4218-A0FF-427D6FBBA8CF}"/>
    <cellStyle name="Comma 2 16" xfId="788" xr:uid="{00000000-0005-0000-0000-000014030000}"/>
    <cellStyle name="Comma 2 16 2" xfId="789" xr:uid="{00000000-0005-0000-0000-000015030000}"/>
    <cellStyle name="Comma 2 16 3" xfId="3080" xr:uid="{DEEBBA9D-FAD3-491C-9E53-B60C32D64C60}"/>
    <cellStyle name="Comma 2 17" xfId="790" xr:uid="{00000000-0005-0000-0000-000016030000}"/>
    <cellStyle name="Comma 2 17 2" xfId="791" xr:uid="{00000000-0005-0000-0000-000017030000}"/>
    <cellStyle name="Comma 2 17 3" xfId="3081" xr:uid="{EF1D2353-87C3-4474-B13E-F0A4606A6735}"/>
    <cellStyle name="Comma 2 18" xfId="792" xr:uid="{00000000-0005-0000-0000-000018030000}"/>
    <cellStyle name="Comma 2 18 2" xfId="793" xr:uid="{00000000-0005-0000-0000-000019030000}"/>
    <cellStyle name="Comma 2 18 3" xfId="3082" xr:uid="{6C81C25B-DC82-4DFB-9AD2-78D108D500ED}"/>
    <cellStyle name="Comma 2 19" xfId="794" xr:uid="{00000000-0005-0000-0000-00001A030000}"/>
    <cellStyle name="Comma 2 19 2" xfId="795" xr:uid="{00000000-0005-0000-0000-00001B030000}"/>
    <cellStyle name="Comma 2 19 3" xfId="3083" xr:uid="{8011C0EC-D96F-493C-8A8E-A62CFD55482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89" xr:uid="{99360FEF-1BFC-4283-9231-474AD394977B}"/>
    <cellStyle name="Comma 2 2 2 2 2 2 2 3" xfId="804" xr:uid="{00000000-0005-0000-0000-000024030000}"/>
    <cellStyle name="Comma 2 2 2 2 2 2 2 3 2" xfId="805" xr:uid="{00000000-0005-0000-0000-000025030000}"/>
    <cellStyle name="Comma 2 2 2 2 2 2 2 3 3" xfId="3090" xr:uid="{7804396F-8979-4BDC-B2CB-6510C9B2E333}"/>
    <cellStyle name="Comma 2 2 2 2 2 2 2 4" xfId="3088" xr:uid="{26AC34AE-FB99-4B6F-84BB-C0146C1E708E}"/>
    <cellStyle name="Comma 2 2 2 2 2 2 3" xfId="806" xr:uid="{00000000-0005-0000-0000-000026030000}"/>
    <cellStyle name="Comma 2 2 2 2 2 2 3 2" xfId="3091" xr:uid="{92FA338E-3C70-486E-B6C3-322FAAD64691}"/>
    <cellStyle name="Comma 2 2 2 2 2 2 4" xfId="807" xr:uid="{00000000-0005-0000-0000-000027030000}"/>
    <cellStyle name="Comma 2 2 2 2 2 2 5" xfId="3087" xr:uid="{67DE79EB-0D87-48DB-8AB4-C909E18144C8}"/>
    <cellStyle name="Comma 2 2 2 2 2 3" xfId="808" xr:uid="{00000000-0005-0000-0000-000028030000}"/>
    <cellStyle name="Comma 2 2 2 2 2 3 2" xfId="809" xr:uid="{00000000-0005-0000-0000-000029030000}"/>
    <cellStyle name="Comma 2 2 2 2 2 3 3" xfId="3092" xr:uid="{15962F71-DABE-44B5-AD98-0A7C3C0715C9}"/>
    <cellStyle name="Comma 2 2 2 2 2 4" xfId="810" xr:uid="{00000000-0005-0000-0000-00002A030000}"/>
    <cellStyle name="Comma 2 2 2 2 2 4 2" xfId="811" xr:uid="{00000000-0005-0000-0000-00002B030000}"/>
    <cellStyle name="Comma 2 2 2 2 2 4 3" xfId="3093" xr:uid="{BD41C044-C83E-4115-8269-158F06CE56AF}"/>
    <cellStyle name="Comma 2 2 2 2 2 5" xfId="3086" xr:uid="{D444A404-B5B3-498A-98D9-B914E94F1DD1}"/>
    <cellStyle name="Comma 2 2 2 2 3" xfId="812" xr:uid="{00000000-0005-0000-0000-00002C030000}"/>
    <cellStyle name="Comma 2 2 2 2 3 2" xfId="3094" xr:uid="{37343BC3-17A6-4420-AEC8-BBF6F10C72E1}"/>
    <cellStyle name="Comma 2 2 2 2 4" xfId="813" xr:uid="{00000000-0005-0000-0000-00002D030000}"/>
    <cellStyle name="Comma 2 2 2 2 4 2" xfId="3095" xr:uid="{B3B12251-B88D-465B-A594-0CA7DA659447}"/>
    <cellStyle name="Comma 2 2 2 2 5" xfId="814" xr:uid="{00000000-0005-0000-0000-00002E030000}"/>
    <cellStyle name="Comma 2 2 2 2 6" xfId="3085" xr:uid="{62364FF5-402C-4C3C-A8D4-D04FD3C0A632}"/>
    <cellStyle name="Comma 2 2 2 3" xfId="815" xr:uid="{00000000-0005-0000-0000-00002F030000}"/>
    <cellStyle name="Comma 2 2 2 3 2" xfId="816" xr:uid="{00000000-0005-0000-0000-000030030000}"/>
    <cellStyle name="Comma 2 2 2 3 3" xfId="3096" xr:uid="{FF70E033-BAD7-49A1-A027-0A479CC922E0}"/>
    <cellStyle name="Comma 2 2 2 4" xfId="817" xr:uid="{00000000-0005-0000-0000-000031030000}"/>
    <cellStyle name="Comma 2 2 2 4 2" xfId="818" xr:uid="{00000000-0005-0000-0000-000032030000}"/>
    <cellStyle name="Comma 2 2 2 4 3" xfId="3097" xr:uid="{F728D856-0850-4A98-9196-3E59809876F0}"/>
    <cellStyle name="Comma 2 2 2 5" xfId="819" xr:uid="{00000000-0005-0000-0000-000033030000}"/>
    <cellStyle name="Comma 2 2 2 5 2" xfId="820" xr:uid="{00000000-0005-0000-0000-000034030000}"/>
    <cellStyle name="Comma 2 2 2 5 3" xfId="3098" xr:uid="{7EFEBDAA-BC19-4248-AC65-DEC6B8D823DD}"/>
    <cellStyle name="Comma 2 2 2 6" xfId="3084" xr:uid="{7F57F1AC-A1B2-4467-9208-65FE3E8192DF}"/>
    <cellStyle name="Comma 2 2 3" xfId="821" xr:uid="{00000000-0005-0000-0000-000035030000}"/>
    <cellStyle name="Comma 2 2 3 2" xfId="822" xr:uid="{00000000-0005-0000-0000-000036030000}"/>
    <cellStyle name="Comma 2 2 3 3" xfId="3099" xr:uid="{D880D7C1-F449-41BC-9E52-D4AD59B5C6A7}"/>
    <cellStyle name="Comma 2 2 4" xfId="823" xr:uid="{00000000-0005-0000-0000-000037030000}"/>
    <cellStyle name="Comma 2 2 4 2" xfId="3100" xr:uid="{369FCA24-513D-49EB-83AD-61BF97F4A3EE}"/>
    <cellStyle name="Comma 2 2 5" xfId="824" xr:uid="{00000000-0005-0000-0000-000038030000}"/>
    <cellStyle name="Comma 2 2 5 2" xfId="3101" xr:uid="{1276371A-A305-4AA6-863C-970383C9F7F3}"/>
    <cellStyle name="Comma 2 2 6" xfId="825" xr:uid="{00000000-0005-0000-0000-000039030000}"/>
    <cellStyle name="Comma 2 2 6 2" xfId="3102" xr:uid="{FD5E238F-83D7-4D04-BDC2-C01B8B574EF2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103" xr:uid="{D4F4E3BD-7B9F-4C8D-B0B6-E56CC26081CE}"/>
    <cellStyle name="Comma 2 21" xfId="829" xr:uid="{00000000-0005-0000-0000-00003D030000}"/>
    <cellStyle name="Comma 2 21 2" xfId="830" xr:uid="{00000000-0005-0000-0000-00003E030000}"/>
    <cellStyle name="Comma 2 21 3" xfId="3104" xr:uid="{3A19A790-D977-436C-A383-9E91E0714D3B}"/>
    <cellStyle name="Comma 2 22" xfId="831" xr:uid="{00000000-0005-0000-0000-00003F030000}"/>
    <cellStyle name="Comma 2 22 2" xfId="832" xr:uid="{00000000-0005-0000-0000-000040030000}"/>
    <cellStyle name="Comma 2 22 3" xfId="3105" xr:uid="{9A7B4A0B-A5EC-497E-8C9F-20C499008D87}"/>
    <cellStyle name="Comma 2 23" xfId="833" xr:uid="{00000000-0005-0000-0000-000041030000}"/>
    <cellStyle name="Comma 2 23 2" xfId="834" xr:uid="{00000000-0005-0000-0000-000042030000}"/>
    <cellStyle name="Comma 2 23 3" xfId="3106" xr:uid="{250C7106-0660-48AE-8429-97192F0233B9}"/>
    <cellStyle name="Comma 2 24" xfId="835" xr:uid="{00000000-0005-0000-0000-000043030000}"/>
    <cellStyle name="Comma 2 24 2" xfId="836" xr:uid="{00000000-0005-0000-0000-000044030000}"/>
    <cellStyle name="Comma 2 24 3" xfId="3107" xr:uid="{60949CE2-CF23-47C7-B9FD-5F262694665E}"/>
    <cellStyle name="Comma 2 25" xfId="837" xr:uid="{00000000-0005-0000-0000-000045030000}"/>
    <cellStyle name="Comma 2 25 2" xfId="838" xr:uid="{00000000-0005-0000-0000-000046030000}"/>
    <cellStyle name="Comma 2 25 3" xfId="3108" xr:uid="{3EDDBF13-69A3-4DFF-A845-661DFE34A3A1}"/>
    <cellStyle name="Comma 2 26" xfId="839" xr:uid="{00000000-0005-0000-0000-000047030000}"/>
    <cellStyle name="Comma 2 26 2" xfId="840" xr:uid="{00000000-0005-0000-0000-000048030000}"/>
    <cellStyle name="Comma 2 26 3" xfId="3109" xr:uid="{F1CA2A5A-4221-4489-A624-854B7C44BFB8}"/>
    <cellStyle name="Comma 2 27" xfId="841" xr:uid="{00000000-0005-0000-0000-000049030000}"/>
    <cellStyle name="Comma 2 27 2" xfId="842" xr:uid="{00000000-0005-0000-0000-00004A030000}"/>
    <cellStyle name="Comma 2 27 3" xfId="3110" xr:uid="{6654E55D-A64F-406D-B0BE-92E644B3E745}"/>
    <cellStyle name="Comma 2 28" xfId="843" xr:uid="{00000000-0005-0000-0000-00004B030000}"/>
    <cellStyle name="Comma 2 28 2" xfId="844" xr:uid="{00000000-0005-0000-0000-00004C030000}"/>
    <cellStyle name="Comma 2 28 3" xfId="3111" xr:uid="{F5675051-B984-458A-9A61-31816E4E3889}"/>
    <cellStyle name="Comma 2 29" xfId="845" xr:uid="{00000000-0005-0000-0000-00004D030000}"/>
    <cellStyle name="Comma 2 29 2" xfId="846" xr:uid="{00000000-0005-0000-0000-00004E030000}"/>
    <cellStyle name="Comma 2 29 3" xfId="3112" xr:uid="{B5BEEB85-107B-4BB1-B2DA-C7BA6A3860EB}"/>
    <cellStyle name="Comma 2 3" xfId="847" xr:uid="{00000000-0005-0000-0000-00004F030000}"/>
    <cellStyle name="Comma 2 3 2" xfId="848" xr:uid="{00000000-0005-0000-0000-000050030000}"/>
    <cellStyle name="Comma 2 3 3" xfId="3113" xr:uid="{3D19E180-FADF-4D63-A9F5-DE472EC90F81}"/>
    <cellStyle name="Comma 2 30" xfId="849" xr:uid="{00000000-0005-0000-0000-000051030000}"/>
    <cellStyle name="Comma 2 30 2" xfId="850" xr:uid="{00000000-0005-0000-0000-000052030000}"/>
    <cellStyle name="Comma 2 30 3" xfId="3114" xr:uid="{603E733F-8709-41E8-83CA-F42609756E2D}"/>
    <cellStyle name="Comma 2 31" xfId="851" xr:uid="{00000000-0005-0000-0000-000053030000}"/>
    <cellStyle name="Comma 2 31 2" xfId="852" xr:uid="{00000000-0005-0000-0000-000054030000}"/>
    <cellStyle name="Comma 2 31 3" xfId="3115" xr:uid="{00620B2A-BDD1-4738-97C5-E7F972D1D637}"/>
    <cellStyle name="Comma 2 32" xfId="853" xr:uid="{00000000-0005-0000-0000-000055030000}"/>
    <cellStyle name="Comma 2 32 2" xfId="854" xr:uid="{00000000-0005-0000-0000-000056030000}"/>
    <cellStyle name="Comma 2 32 3" xfId="3116" xr:uid="{4E901ED9-AF19-497E-BD7C-E22A64CD52B1}"/>
    <cellStyle name="Comma 2 33" xfId="855" xr:uid="{00000000-0005-0000-0000-000057030000}"/>
    <cellStyle name="Comma 2 33 2" xfId="856" xr:uid="{00000000-0005-0000-0000-000058030000}"/>
    <cellStyle name="Comma 2 33 3" xfId="3117" xr:uid="{6F5E3125-7E1E-4478-925C-C745754D7E4B}"/>
    <cellStyle name="Comma 2 34" xfId="857" xr:uid="{00000000-0005-0000-0000-000059030000}"/>
    <cellStyle name="Comma 2 34 2" xfId="858" xr:uid="{00000000-0005-0000-0000-00005A030000}"/>
    <cellStyle name="Comma 2 34 3" xfId="3118" xr:uid="{5C1DA331-1B68-4E8F-B535-FE97DA1E97FD}"/>
    <cellStyle name="Comma 2 35" xfId="859" xr:uid="{00000000-0005-0000-0000-00005B030000}"/>
    <cellStyle name="Comma 2 35 2" xfId="860" xr:uid="{00000000-0005-0000-0000-00005C030000}"/>
    <cellStyle name="Comma 2 35 3" xfId="3119" xr:uid="{EA114B1D-5362-4DBE-9150-F6F85422726E}"/>
    <cellStyle name="Comma 2 36" xfId="861" xr:uid="{00000000-0005-0000-0000-00005D030000}"/>
    <cellStyle name="Comma 2 36 2" xfId="862" xr:uid="{00000000-0005-0000-0000-00005E030000}"/>
    <cellStyle name="Comma 2 36 3" xfId="3120" xr:uid="{A7ACFD73-CC16-45AA-98B7-9721661B6B37}"/>
    <cellStyle name="Comma 2 37" xfId="863" xr:uid="{00000000-0005-0000-0000-00005F030000}"/>
    <cellStyle name="Comma 2 37 2" xfId="864" xr:uid="{00000000-0005-0000-0000-000060030000}"/>
    <cellStyle name="Comma 2 37 3" xfId="3121" xr:uid="{824E5875-0718-4ECA-9FE0-28450E5C6F29}"/>
    <cellStyle name="Comma 2 38" xfId="865" xr:uid="{00000000-0005-0000-0000-000061030000}"/>
    <cellStyle name="Comma 2 38 2" xfId="866" xr:uid="{00000000-0005-0000-0000-000062030000}"/>
    <cellStyle name="Comma 2 38 3" xfId="3122" xr:uid="{5A3092B1-13E1-489C-9815-84B67E82D86F}"/>
    <cellStyle name="Comma 2 39" xfId="867" xr:uid="{00000000-0005-0000-0000-000063030000}"/>
    <cellStyle name="Comma 2 39 2" xfId="868" xr:uid="{00000000-0005-0000-0000-000064030000}"/>
    <cellStyle name="Comma 2 39 3" xfId="3123" xr:uid="{8C20755A-D3A9-4AF5-B61A-8762470E4532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124" xr:uid="{DC52F121-E3A2-4456-92FF-913AD45B448A}"/>
    <cellStyle name="Comma 2 41" xfId="875" xr:uid="{00000000-0005-0000-0000-00006B030000}"/>
    <cellStyle name="Comma 2 41 2" xfId="876" xr:uid="{00000000-0005-0000-0000-00006C030000}"/>
    <cellStyle name="Comma 2 41 3" xfId="3125" xr:uid="{ED3820E4-D137-4A6E-BBA7-89C5D04D2E3F}"/>
    <cellStyle name="Comma 2 42" xfId="877" xr:uid="{00000000-0005-0000-0000-00006D030000}"/>
    <cellStyle name="Comma 2 42 2" xfId="878" xr:uid="{00000000-0005-0000-0000-00006E030000}"/>
    <cellStyle name="Comma 2 42 3" xfId="3126" xr:uid="{52C1A5E2-CEC1-46E2-9987-531A228C315F}"/>
    <cellStyle name="Comma 2 43" xfId="879" xr:uid="{00000000-0005-0000-0000-00006F030000}"/>
    <cellStyle name="Comma 2 43 2" xfId="880" xr:uid="{00000000-0005-0000-0000-000070030000}"/>
    <cellStyle name="Comma 2 43 3" xfId="3127" xr:uid="{9DE88432-670B-41B4-9B38-6A7D8FA1F482}"/>
    <cellStyle name="Comma 2 44" xfId="881" xr:uid="{00000000-0005-0000-0000-000071030000}"/>
    <cellStyle name="Comma 2 44 2" xfId="882" xr:uid="{00000000-0005-0000-0000-000072030000}"/>
    <cellStyle name="Comma 2 44 3" xfId="3128" xr:uid="{66C3FEBC-F3B1-45D6-9045-520C970C5672}"/>
    <cellStyle name="Comma 2 45" xfId="883" xr:uid="{00000000-0005-0000-0000-000073030000}"/>
    <cellStyle name="Comma 2 45 2" xfId="884" xr:uid="{00000000-0005-0000-0000-000074030000}"/>
    <cellStyle name="Comma 2 45 3" xfId="3129" xr:uid="{661AFBB4-DB8F-48E6-8AB6-894EBE04F47D}"/>
    <cellStyle name="Comma 2 46" xfId="885" xr:uid="{00000000-0005-0000-0000-000075030000}"/>
    <cellStyle name="Comma 2 46 2" xfId="886" xr:uid="{00000000-0005-0000-0000-000076030000}"/>
    <cellStyle name="Comma 2 46 3" xfId="3130" xr:uid="{F07B166F-5949-4ADB-B1F1-2A0D1A5583AD}"/>
    <cellStyle name="Comma 2 47" xfId="887" xr:uid="{00000000-0005-0000-0000-000077030000}"/>
    <cellStyle name="Comma 2 47 2" xfId="888" xr:uid="{00000000-0005-0000-0000-000078030000}"/>
    <cellStyle name="Comma 2 47 3" xfId="3131" xr:uid="{F5C1AF69-548A-4B7A-96D2-43A0A6EE582F}"/>
    <cellStyle name="Comma 2 48" xfId="889" xr:uid="{00000000-0005-0000-0000-000079030000}"/>
    <cellStyle name="Comma 2 48 2" xfId="890" xr:uid="{00000000-0005-0000-0000-00007A030000}"/>
    <cellStyle name="Comma 2 48 3" xfId="3132" xr:uid="{CD99751D-0F1F-4E53-9F10-18026E52DDEF}"/>
    <cellStyle name="Comma 2 49" xfId="891" xr:uid="{00000000-0005-0000-0000-00007B030000}"/>
    <cellStyle name="Comma 2 49 2" xfId="892" xr:uid="{00000000-0005-0000-0000-00007C030000}"/>
    <cellStyle name="Comma 2 49 3" xfId="3133" xr:uid="{D2032268-B28A-4738-94BD-7A75A37BF4F0}"/>
    <cellStyle name="Comma 2 5" xfId="893" xr:uid="{00000000-0005-0000-0000-00007D030000}"/>
    <cellStyle name="Comma 2 5 2" xfId="894" xr:uid="{00000000-0005-0000-0000-00007E030000}"/>
    <cellStyle name="Comma 2 5 3" xfId="3134" xr:uid="{95C5485A-5E15-4443-AA66-2475AA70EF30}"/>
    <cellStyle name="Comma 2 50" xfId="895" xr:uid="{00000000-0005-0000-0000-00007F030000}"/>
    <cellStyle name="Comma 2 50 2" xfId="896" xr:uid="{00000000-0005-0000-0000-000080030000}"/>
    <cellStyle name="Comma 2 50 3" xfId="3135" xr:uid="{09E540CF-5129-49FE-8FD0-9FA6C8550A88}"/>
    <cellStyle name="Comma 2 51" xfId="897" xr:uid="{00000000-0005-0000-0000-000081030000}"/>
    <cellStyle name="Comma 2 51 2" xfId="898" xr:uid="{00000000-0005-0000-0000-000082030000}"/>
    <cellStyle name="Comma 2 51 3" xfId="3136" xr:uid="{9CA64904-BA3C-4402-A2D7-72B9497A225B}"/>
    <cellStyle name="Comma 2 52" xfId="899" xr:uid="{00000000-0005-0000-0000-000083030000}"/>
    <cellStyle name="Comma 2 52 2" xfId="900" xr:uid="{00000000-0005-0000-0000-000084030000}"/>
    <cellStyle name="Comma 2 52 3" xfId="3137" xr:uid="{A987D9E2-0D76-4F1C-8CE5-82E4154A6A14}"/>
    <cellStyle name="Comma 2 53" xfId="901" xr:uid="{00000000-0005-0000-0000-000085030000}"/>
    <cellStyle name="Comma 2 53 2" xfId="902" xr:uid="{00000000-0005-0000-0000-000086030000}"/>
    <cellStyle name="Comma 2 53 3" xfId="3138" xr:uid="{82BC8386-F663-45CF-B6A5-2A9E933D8B96}"/>
    <cellStyle name="Comma 2 54" xfId="903" xr:uid="{00000000-0005-0000-0000-000087030000}"/>
    <cellStyle name="Comma 2 54 2" xfId="904" xr:uid="{00000000-0005-0000-0000-000088030000}"/>
    <cellStyle name="Comma 2 54 3" xfId="3139" xr:uid="{2A816F44-9DE5-4999-B6FF-CD44CA961731}"/>
    <cellStyle name="Comma 2 55" xfId="905" xr:uid="{00000000-0005-0000-0000-000089030000}"/>
    <cellStyle name="Comma 2 55 2" xfId="906" xr:uid="{00000000-0005-0000-0000-00008A030000}"/>
    <cellStyle name="Comma 2 55 3" xfId="3140" xr:uid="{18E22685-3784-4672-BD73-248E25611168}"/>
    <cellStyle name="Comma 2 56" xfId="907" xr:uid="{00000000-0005-0000-0000-00008B030000}"/>
    <cellStyle name="Comma 2 56 2" xfId="908" xr:uid="{00000000-0005-0000-0000-00008C030000}"/>
    <cellStyle name="Comma 2 56 3" xfId="3141" xr:uid="{7E25D209-8322-4323-B3FD-B8810AA14ACC}"/>
    <cellStyle name="Comma 2 57" xfId="909" xr:uid="{00000000-0005-0000-0000-00008D030000}"/>
    <cellStyle name="Comma 2 57 2" xfId="910" xr:uid="{00000000-0005-0000-0000-00008E030000}"/>
    <cellStyle name="Comma 2 57 3" xfId="3142" xr:uid="{FCF52DF9-C011-4ADC-8F16-9496B1DF446D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44" xr:uid="{C9D91153-F449-4E4B-86F4-EB7F286262A7}"/>
    <cellStyle name="Comma 2 58 3" xfId="914" xr:uid="{00000000-0005-0000-0000-000092030000}"/>
    <cellStyle name="Comma 2 58 3 2" xfId="915" xr:uid="{00000000-0005-0000-0000-000093030000}"/>
    <cellStyle name="Comma 2 58 3 3" xfId="3145" xr:uid="{DCAE2A4C-90AE-44D0-9968-3B81D66B7A2D}"/>
    <cellStyle name="Comma 2 58 4" xfId="916" xr:uid="{00000000-0005-0000-0000-000094030000}"/>
    <cellStyle name="Comma 2 58 4 2" xfId="917" xr:uid="{00000000-0005-0000-0000-000095030000}"/>
    <cellStyle name="Comma 2 58 4 3" xfId="3146" xr:uid="{596E0FAB-C803-496E-9973-1E2CA4D4F7E0}"/>
    <cellStyle name="Comma 2 58 5" xfId="918" xr:uid="{00000000-0005-0000-0000-000096030000}"/>
    <cellStyle name="Comma 2 58 6" xfId="3143" xr:uid="{BC40E461-6053-40F9-BD86-A6813F6C34CC}"/>
    <cellStyle name="Comma 2 59" xfId="919" xr:uid="{00000000-0005-0000-0000-000097030000}"/>
    <cellStyle name="Comma 2 59 2" xfId="920" xr:uid="{00000000-0005-0000-0000-000098030000}"/>
    <cellStyle name="Comma 2 59 3" xfId="3147" xr:uid="{D016C5A4-91A9-40E6-873F-44CE41325AED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48" xr:uid="{AFE0A805-A66B-452D-B026-D420E004441B}"/>
    <cellStyle name="Comma 2 61" xfId="2692" xr:uid="{6C93DFE8-2A12-4105-AFB7-111E617F34C5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49" xr:uid="{2C8A64BF-A538-4866-BEA4-E443C685EFA8}"/>
    <cellStyle name="Comma 2 9" xfId="948" xr:uid="{00000000-0005-0000-0000-0000B4030000}"/>
    <cellStyle name="Comma 2 9 2" xfId="949" xr:uid="{00000000-0005-0000-0000-0000B5030000}"/>
    <cellStyle name="Comma 2 9 3" xfId="3150" xr:uid="{2ABC43EB-3753-4DF1-B5B3-9131DE1AA7F3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52" xr:uid="{635A4F5E-A981-4AF6-A55D-E44ED1F156AA}"/>
    <cellStyle name="Comma 20 3" xfId="953" xr:uid="{00000000-0005-0000-0000-0000B9030000}"/>
    <cellStyle name="Comma 20 4" xfId="3151" xr:uid="{230FE1A2-E8E0-418E-8D14-EA19FEC7937D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54" xr:uid="{924B2CD0-8614-422B-A765-D971F5C1B179}"/>
    <cellStyle name="Comma 21 3" xfId="957" xr:uid="{00000000-0005-0000-0000-0000BD030000}"/>
    <cellStyle name="Comma 21 4" xfId="3153" xr:uid="{ACE4C336-3A37-4F11-88B4-2DE270F1741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56" xr:uid="{97D3C9A7-ACDC-4A42-9483-1152C4F2AE6F}"/>
    <cellStyle name="Comma 22 3" xfId="961" xr:uid="{00000000-0005-0000-0000-0000C1030000}"/>
    <cellStyle name="Comma 22 4" xfId="3155" xr:uid="{3F4E4AE2-D33B-4A7F-806C-C9F825141560}"/>
    <cellStyle name="Comma 23" xfId="962" xr:uid="{00000000-0005-0000-0000-0000C2030000}"/>
    <cellStyle name="Comma 23 2" xfId="963" xr:uid="{00000000-0005-0000-0000-0000C3030000}"/>
    <cellStyle name="Comma 23 3" xfId="3157" xr:uid="{07D485A3-E002-4BFC-8576-AAF4D0A113AD}"/>
    <cellStyle name="Comma 24" xfId="964" xr:uid="{00000000-0005-0000-0000-0000C4030000}"/>
    <cellStyle name="Comma 24 2" xfId="965" xr:uid="{00000000-0005-0000-0000-0000C5030000}"/>
    <cellStyle name="Comma 24 3" xfId="3158" xr:uid="{F87F7EBF-A1F4-4574-A9ED-753F00239C5B}"/>
    <cellStyle name="Comma 25" xfId="966" xr:uid="{00000000-0005-0000-0000-0000C6030000}"/>
    <cellStyle name="Comma 25 2" xfId="967" xr:uid="{00000000-0005-0000-0000-0000C7030000}"/>
    <cellStyle name="Comma 25 3" xfId="3159" xr:uid="{28A0C9A7-059A-4B80-B379-89CCF510F414}"/>
    <cellStyle name="Comma 26" xfId="968" xr:uid="{00000000-0005-0000-0000-0000C8030000}"/>
    <cellStyle name="Comma 26 2" xfId="969" xr:uid="{00000000-0005-0000-0000-0000C9030000}"/>
    <cellStyle name="Comma 26 3" xfId="3160" xr:uid="{28ECA0C6-6CD0-48B8-A373-00B72FF8C453}"/>
    <cellStyle name="Comma 27" xfId="970" xr:uid="{00000000-0005-0000-0000-0000CA030000}"/>
    <cellStyle name="Comma 27 2" xfId="3161" xr:uid="{D5125E57-ECB4-4634-BC5B-B8ED294D19E2}"/>
    <cellStyle name="Comma 28" xfId="971" xr:uid="{00000000-0005-0000-0000-0000CB030000}"/>
    <cellStyle name="Comma 28 2" xfId="972" xr:uid="{00000000-0005-0000-0000-0000CC030000}"/>
    <cellStyle name="Comma 28 3" xfId="3162" xr:uid="{77AF29B5-EF55-458B-AE46-FC0D9619279D}"/>
    <cellStyle name="Comma 29" xfId="973" xr:uid="{00000000-0005-0000-0000-0000CD030000}"/>
    <cellStyle name="Comma 29 2" xfId="974" xr:uid="{00000000-0005-0000-0000-0000CE030000}"/>
    <cellStyle name="Comma 29 3" xfId="3163" xr:uid="{34EBF12B-B2B9-491F-8D90-CDFA4C34CA8E}"/>
    <cellStyle name="Comma 3" xfId="975" xr:uid="{00000000-0005-0000-0000-0000CF030000}"/>
    <cellStyle name="Comma 3 10" xfId="976" xr:uid="{00000000-0005-0000-0000-0000D0030000}"/>
    <cellStyle name="Comma 3 11" xfId="3164" xr:uid="{09FE4732-EC7B-4F37-A7EC-B9888093F54F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68" xr:uid="{D8F0C55A-9A52-4F55-8A5E-1E71B463E3C6}"/>
    <cellStyle name="Comma 3 2 2 2 3" xfId="981" xr:uid="{00000000-0005-0000-0000-0000D5030000}"/>
    <cellStyle name="Comma 3 2 2 2 3 2" xfId="3169" xr:uid="{EDDCA69F-3A35-41FE-84EB-C8DCE135BAB3}"/>
    <cellStyle name="Comma 3 2 2 2 4" xfId="982" xr:uid="{00000000-0005-0000-0000-0000D6030000}"/>
    <cellStyle name="Comma 3 2 2 2 4 2" xfId="3170" xr:uid="{F0961404-B14C-4558-A1B7-BBB90959D1C0}"/>
    <cellStyle name="Comma 3 2 2 2 5" xfId="3167" xr:uid="{B412D110-299A-4770-8CCF-E96C42518837}"/>
    <cellStyle name="Comma 3 2 2 3" xfId="983" xr:uid="{00000000-0005-0000-0000-0000D7030000}"/>
    <cellStyle name="Comma 3 2 2 3 2" xfId="3171" xr:uid="{C5269F59-2EBC-4F90-9DE2-79C174948F2C}"/>
    <cellStyle name="Comma 3 2 2 4" xfId="984" xr:uid="{00000000-0005-0000-0000-0000D8030000}"/>
    <cellStyle name="Comma 3 2 2 4 2" xfId="3172" xr:uid="{EF8932CB-3AF1-45C7-8E5D-F6C03A92EEB9}"/>
    <cellStyle name="Comma 3 2 2 5" xfId="985" xr:uid="{00000000-0005-0000-0000-0000D9030000}"/>
    <cellStyle name="Comma 3 2 2 5 2" xfId="3173" xr:uid="{A88FE472-7851-43C1-A93C-342AC5BD9101}"/>
    <cellStyle name="Comma 3 2 2 6" xfId="3166" xr:uid="{78148BA5-BA46-471E-A5F4-F9A4C77476B5}"/>
    <cellStyle name="Comma 3 2 3" xfId="986" xr:uid="{00000000-0005-0000-0000-0000DA030000}"/>
    <cellStyle name="Comma 3 2 3 2" xfId="3174" xr:uid="{A00502C3-FB75-43BE-A2E5-ECD812B3FBD7}"/>
    <cellStyle name="Comma 3 2 4" xfId="987" xr:uid="{00000000-0005-0000-0000-0000DB030000}"/>
    <cellStyle name="Comma 3 2 4 2" xfId="3175" xr:uid="{979FF5E7-AF4A-4ADA-95B4-82D0491707BF}"/>
    <cellStyle name="Comma 3 2 5" xfId="988" xr:uid="{00000000-0005-0000-0000-0000DC030000}"/>
    <cellStyle name="Comma 3 2 5 2" xfId="3176" xr:uid="{E5EF671A-A8C2-4F26-AC33-A223E6E2AA78}"/>
    <cellStyle name="Comma 3 2 6" xfId="989" xr:uid="{00000000-0005-0000-0000-0000DD030000}"/>
    <cellStyle name="Comma 3 2 7" xfId="3165" xr:uid="{EADC3DA2-8AC8-49B0-AA23-41068DA20C66}"/>
    <cellStyle name="Comma 3 3" xfId="990" xr:uid="{00000000-0005-0000-0000-0000DE030000}"/>
    <cellStyle name="Comma 3 3 2" xfId="991" xr:uid="{00000000-0005-0000-0000-0000DF030000}"/>
    <cellStyle name="Comma 3 3 2 2" xfId="3178" xr:uid="{795F7F98-23A8-49CC-B327-882A36BAB106}"/>
    <cellStyle name="Comma 3 3 3" xfId="992" xr:uid="{00000000-0005-0000-0000-0000E0030000}"/>
    <cellStyle name="Comma 3 3 3 2" xfId="3179" xr:uid="{2699281E-1BEE-49C9-B609-F2BBD8168965}"/>
    <cellStyle name="Comma 3 3 4" xfId="993" xr:uid="{00000000-0005-0000-0000-0000E1030000}"/>
    <cellStyle name="Comma 3 3 4 2" xfId="3180" xr:uid="{61B82E01-4F7F-4E4A-8E28-0C80F0BD0663}"/>
    <cellStyle name="Comma 3 3 5" xfId="3177" xr:uid="{E5879D60-48B5-41C6-9789-1EC4A8D9078C}"/>
    <cellStyle name="Comma 3 4" xfId="994" xr:uid="{00000000-0005-0000-0000-0000E2030000}"/>
    <cellStyle name="Comma 3 4 2" xfId="995" xr:uid="{00000000-0005-0000-0000-0000E3030000}"/>
    <cellStyle name="Comma 3 4 2 2" xfId="3182" xr:uid="{06BAF895-036B-4ADA-AB29-B880F3F668A8}"/>
    <cellStyle name="Comma 3 4 3" xfId="996" xr:uid="{00000000-0005-0000-0000-0000E4030000}"/>
    <cellStyle name="Comma 3 4 3 2" xfId="3183" xr:uid="{D51CC9A9-5361-49C9-A532-E6616B1FE4DA}"/>
    <cellStyle name="Comma 3 4 4" xfId="997" xr:uid="{00000000-0005-0000-0000-0000E5030000}"/>
    <cellStyle name="Comma 3 4 4 2" xfId="3184" xr:uid="{E9F3BF06-F397-4CE9-B144-4EE3F8DF408C}"/>
    <cellStyle name="Comma 3 4 5" xfId="3181" xr:uid="{49B823A7-315A-4527-95C3-6B0DDF7742CD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90" xr:uid="{01C1F590-8E8F-4AEA-BD4A-79F5A6D3E3E2}"/>
    <cellStyle name="Comma 3 5 2 2 2 2 3" xfId="1004" xr:uid="{00000000-0005-0000-0000-0000EC030000}"/>
    <cellStyle name="Comma 3 5 2 2 2 2 3 2" xfId="3191" xr:uid="{5A07A481-3CCD-4B12-8BFD-355906F338A4}"/>
    <cellStyle name="Comma 3 5 2 2 2 2 4" xfId="1005" xr:uid="{00000000-0005-0000-0000-0000ED030000}"/>
    <cellStyle name="Comma 3 5 2 2 2 2 4 2" xfId="3192" xr:uid="{9B5FE878-C7C9-4C67-9213-388BDC2EF2B0}"/>
    <cellStyle name="Comma 3 5 2 2 2 2 5" xfId="1006" xr:uid="{00000000-0005-0000-0000-0000EE030000}"/>
    <cellStyle name="Comma 3 5 2 2 2 2 5 2" xfId="3193" xr:uid="{F0752824-A347-4072-A7CB-069C6D7CB3E0}"/>
    <cellStyle name="Comma 3 5 2 2 2 2 6" xfId="3189" xr:uid="{9AF9889B-DDFE-4C1F-82D7-3BABC90CB6B8}"/>
    <cellStyle name="Comma 3 5 2 2 2 3" xfId="1007" xr:uid="{00000000-0005-0000-0000-0000EF030000}"/>
    <cellStyle name="Comma 3 5 2 2 2 3 2" xfId="3194" xr:uid="{A0AF413D-A9E7-4DDF-A70B-377DDFDC47D7}"/>
    <cellStyle name="Comma 3 5 2 2 2 4" xfId="1008" xr:uid="{00000000-0005-0000-0000-0000F0030000}"/>
    <cellStyle name="Comma 3 5 2 2 2 4 2" xfId="3195" xr:uid="{72D50C19-2F03-4394-B1F0-964540C9D2FE}"/>
    <cellStyle name="Comma 3 5 2 2 2 5" xfId="1009" xr:uid="{00000000-0005-0000-0000-0000F1030000}"/>
    <cellStyle name="Comma 3 5 2 2 2 5 2" xfId="3196" xr:uid="{D850D0F1-2055-462C-B4F6-E85901B1ADC9}"/>
    <cellStyle name="Comma 3 5 2 2 2 6" xfId="3188" xr:uid="{5DCFD46D-D9F9-461B-8B89-4CF7B9F29A45}"/>
    <cellStyle name="Comma 3 5 2 2 3" xfId="1010" xr:uid="{00000000-0005-0000-0000-0000F2030000}"/>
    <cellStyle name="Comma 3 5 2 2 3 2" xfId="3197" xr:uid="{73A4A994-E41F-4698-82CD-5FBE59B707A2}"/>
    <cellStyle name="Comma 3 5 2 2 4" xfId="1011" xr:uid="{00000000-0005-0000-0000-0000F3030000}"/>
    <cellStyle name="Comma 3 5 2 2 4 2" xfId="3198" xr:uid="{333AA58C-7246-47BD-A67B-BF3D57AE3479}"/>
    <cellStyle name="Comma 3 5 2 2 5" xfId="1012" xr:uid="{00000000-0005-0000-0000-0000F4030000}"/>
    <cellStyle name="Comma 3 5 2 2 5 2" xfId="3199" xr:uid="{6A4071FE-6FA0-4273-9971-2827782BAC10}"/>
    <cellStyle name="Comma 3 5 2 2 6" xfId="3187" xr:uid="{E56BAE34-01E2-4D19-ACB5-4CCD2A1C9ADC}"/>
    <cellStyle name="Comma 3 5 2 3" xfId="1013" xr:uid="{00000000-0005-0000-0000-0000F5030000}"/>
    <cellStyle name="Comma 3 5 2 3 2" xfId="3200" xr:uid="{715EE788-C874-4754-BEBD-377434EACAC8}"/>
    <cellStyle name="Comma 3 5 2 4" xfId="1014" xr:uid="{00000000-0005-0000-0000-0000F6030000}"/>
    <cellStyle name="Comma 3 5 2 4 2" xfId="3201" xr:uid="{4F48D1E0-FB5D-4976-9CBD-94A9C617953A}"/>
    <cellStyle name="Comma 3 5 2 5" xfId="1015" xr:uid="{00000000-0005-0000-0000-0000F7030000}"/>
    <cellStyle name="Comma 3 5 2 5 2" xfId="3202" xr:uid="{488C2854-6084-427A-AEC7-566CF495C66F}"/>
    <cellStyle name="Comma 3 5 2 6" xfId="3186" xr:uid="{E50EB1E7-4112-4D7E-BDD3-5063FD3EEF4D}"/>
    <cellStyle name="Comma 3 5 3" xfId="1016" xr:uid="{00000000-0005-0000-0000-0000F8030000}"/>
    <cellStyle name="Comma 3 5 3 2" xfId="1017" xr:uid="{00000000-0005-0000-0000-0000F9030000}"/>
    <cellStyle name="Comma 3 5 3 2 2" xfId="3204" xr:uid="{B6290DD5-D7F7-4086-B594-D534E414B227}"/>
    <cellStyle name="Comma 3 5 3 3" xfId="1018" xr:uid="{00000000-0005-0000-0000-0000FA030000}"/>
    <cellStyle name="Comma 3 5 3 3 2" xfId="3205" xr:uid="{743BF13A-1AF9-4EBD-84DA-7F0481AD4AFB}"/>
    <cellStyle name="Comma 3 5 3 4" xfId="1019" xr:uid="{00000000-0005-0000-0000-0000FB030000}"/>
    <cellStyle name="Comma 3 5 3 4 2" xfId="3206" xr:uid="{7F2983A5-FE58-4AA6-86B3-395736515ABE}"/>
    <cellStyle name="Comma 3 5 3 5" xfId="3203" xr:uid="{2E72CE80-E13B-48E3-8398-1C7527BCC2BB}"/>
    <cellStyle name="Comma 3 5 4" xfId="1020" xr:uid="{00000000-0005-0000-0000-0000FC030000}"/>
    <cellStyle name="Comma 3 5 4 2" xfId="3207" xr:uid="{9FAD4F82-5635-49F9-970D-98A2D372B7E0}"/>
    <cellStyle name="Comma 3 5 5" xfId="1021" xr:uid="{00000000-0005-0000-0000-0000FD030000}"/>
    <cellStyle name="Comma 3 5 5 2" xfId="3208" xr:uid="{4A967532-C78D-4A1B-AB89-EC2159D238CD}"/>
    <cellStyle name="Comma 3 5 6" xfId="1022" xr:uid="{00000000-0005-0000-0000-0000FE030000}"/>
    <cellStyle name="Comma 3 5 6 2" xfId="3209" xr:uid="{690F9B9B-A2A2-4C5A-AF3A-90289A5BE01B}"/>
    <cellStyle name="Comma 3 5 7" xfId="3185" xr:uid="{BCE726A9-9568-4026-A9FA-32B21C1F008C}"/>
    <cellStyle name="Comma 3 6" xfId="1023" xr:uid="{00000000-0005-0000-0000-0000FF030000}"/>
    <cellStyle name="Comma 3 6 2" xfId="3210" xr:uid="{0458569A-31D2-45F5-A9B5-5A5DA3D685BE}"/>
    <cellStyle name="Comma 3 7" xfId="1024" xr:uid="{00000000-0005-0000-0000-000000040000}"/>
    <cellStyle name="Comma 3 7 2" xfId="3211" xr:uid="{E67CE7EC-BB67-461F-98E6-DC1B2E1C90EF}"/>
    <cellStyle name="Comma 3 8" xfId="1025" xr:uid="{00000000-0005-0000-0000-000001040000}"/>
    <cellStyle name="Comma 3 8 2" xfId="3212" xr:uid="{A8293D58-D0C7-40F1-ACE4-34E0B53122F6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213" xr:uid="{C67F2A37-F105-481E-92B3-B291BDD8EEFA}"/>
    <cellStyle name="Comma 31" xfId="1030" xr:uid="{00000000-0005-0000-0000-000006040000}"/>
    <cellStyle name="Comma 31 2" xfId="1031" xr:uid="{00000000-0005-0000-0000-000007040000}"/>
    <cellStyle name="Comma 31 3" xfId="3214" xr:uid="{6BB70F48-AAC1-40F3-B0BB-D777F0BF39E9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215" xr:uid="{5FDA9FF0-32B0-477B-94D2-014D3C430E03}"/>
    <cellStyle name="Comma 34" xfId="1038" xr:uid="{00000000-0005-0000-0000-00000E040000}"/>
    <cellStyle name="Comma 34 2" xfId="1039" xr:uid="{00000000-0005-0000-0000-00000F040000}"/>
    <cellStyle name="Comma 34 3" xfId="3216" xr:uid="{C85F6E9E-AD8D-46EA-890D-1080C7B64ABE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217" xr:uid="{3AB19FB7-A1BA-4951-BD8D-A0ED7072866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219" xr:uid="{018F8045-918D-4A4A-8616-EDDB943B3F52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218" xr:uid="{EC7B2BEC-52BE-4D4A-818A-509A355E2D2C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220" xr:uid="{763C2BFB-4A40-4B86-9729-3543F416A2F5}"/>
    <cellStyle name="Comma 45" xfId="1056" xr:uid="{00000000-0005-0000-0000-000020040000}"/>
    <cellStyle name="Comma 45 2" xfId="1057" xr:uid="{00000000-0005-0000-0000-000021040000}"/>
    <cellStyle name="Comma 45 3" xfId="3221" xr:uid="{1EB4934E-75E6-4D85-B566-CFE28097C6A7}"/>
    <cellStyle name="Comma 46" xfId="1058" xr:uid="{00000000-0005-0000-0000-000022040000}"/>
    <cellStyle name="Comma 46 2" xfId="1059" xr:uid="{00000000-0005-0000-0000-000023040000}"/>
    <cellStyle name="Comma 46 3" xfId="3222" xr:uid="{C055DD23-72DB-4796-A2BF-01F2E1A3D55D}"/>
    <cellStyle name="Comma 47" xfId="1060" xr:uid="{00000000-0005-0000-0000-000024040000}"/>
    <cellStyle name="Comma 47 2" xfId="1061" xr:uid="{00000000-0005-0000-0000-000025040000}"/>
    <cellStyle name="Comma 47 3" xfId="3223" xr:uid="{8ADB6507-E057-4548-93DC-7529D13D2A51}"/>
    <cellStyle name="Comma 48" xfId="1062" xr:uid="{00000000-0005-0000-0000-000026040000}"/>
    <cellStyle name="Comma 48 2" xfId="1063" xr:uid="{00000000-0005-0000-0000-000027040000}"/>
    <cellStyle name="Comma 48 3" xfId="3224" xr:uid="{B370829D-AB15-4434-BC14-4E1E06FB2D60}"/>
    <cellStyle name="Comma 49" xfId="1064" xr:uid="{00000000-0005-0000-0000-000028040000}"/>
    <cellStyle name="Comma 49 2" xfId="1065" xr:uid="{00000000-0005-0000-0000-000029040000}"/>
    <cellStyle name="Comma 49 3" xfId="3225" xr:uid="{EA0B8F39-F518-4CC2-B788-8214874A7906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226" xr:uid="{3F895602-618C-4F85-ADD6-4597BFE48BA3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227" xr:uid="{1ADAC8C4-8557-4B31-8CEA-4D2998B5924C}"/>
    <cellStyle name="Comma 51" xfId="1072" xr:uid="{00000000-0005-0000-0000-000030040000}"/>
    <cellStyle name="Comma 51 2" xfId="1073" xr:uid="{00000000-0005-0000-0000-000031040000}"/>
    <cellStyle name="Comma 51 3" xfId="3228" xr:uid="{65AE595A-6810-48E0-BA79-192FC1FAF06B}"/>
    <cellStyle name="Comma 52" xfId="1074" xr:uid="{00000000-0005-0000-0000-000032040000}"/>
    <cellStyle name="Comma 52 2" xfId="1075" xr:uid="{00000000-0005-0000-0000-000033040000}"/>
    <cellStyle name="Comma 52 3" xfId="3229" xr:uid="{CF6CA26E-CF7C-486C-8BE2-5AE306F18706}"/>
    <cellStyle name="Comma 58" xfId="1076" xr:uid="{00000000-0005-0000-0000-000034040000}"/>
    <cellStyle name="Comma 58 2" xfId="1077" xr:uid="{00000000-0005-0000-0000-000035040000}"/>
    <cellStyle name="Comma 58 3" xfId="3230" xr:uid="{27A47C19-3D18-4C0C-88DF-4C2E5BB532B8}"/>
    <cellStyle name="Comma 59" xfId="1078" xr:uid="{00000000-0005-0000-0000-000036040000}"/>
    <cellStyle name="Comma 59 2" xfId="1079" xr:uid="{00000000-0005-0000-0000-000037040000}"/>
    <cellStyle name="Comma 59 3" xfId="3231" xr:uid="{036CA221-DF69-4C6D-A39A-2C5E065837DC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33" xr:uid="{7DC8B869-E0FA-4831-B109-228823262E77}"/>
    <cellStyle name="Comma 6 3" xfId="3232" xr:uid="{2C8DB480-E941-4C43-8972-4511292D5DA3}"/>
    <cellStyle name="Comma 62" xfId="1083" xr:uid="{00000000-0005-0000-0000-00003B040000}"/>
    <cellStyle name="Comma 62 2" xfId="1084" xr:uid="{00000000-0005-0000-0000-00003C040000}"/>
    <cellStyle name="Comma 62 3" xfId="3234" xr:uid="{093EFCF7-E365-4F7A-8151-0200D0C4D5BA}"/>
    <cellStyle name="Comma 63" xfId="1085" xr:uid="{00000000-0005-0000-0000-00003D040000}"/>
    <cellStyle name="Comma 63 2" xfId="1086" xr:uid="{00000000-0005-0000-0000-00003E040000}"/>
    <cellStyle name="Comma 63 3" xfId="3235" xr:uid="{3D33F6FE-2AEA-4825-8E41-AF6B0D964AA3}"/>
    <cellStyle name="Comma 66" xfId="1087" xr:uid="{00000000-0005-0000-0000-00003F040000}"/>
    <cellStyle name="Comma 66 2" xfId="3236" xr:uid="{BEA287D0-C2C7-49C9-BAAB-DA03CF3E55EF}"/>
    <cellStyle name="Comma 67" xfId="1088" xr:uid="{00000000-0005-0000-0000-000040040000}"/>
    <cellStyle name="Comma 67 2" xfId="1089" xr:uid="{00000000-0005-0000-0000-000041040000}"/>
    <cellStyle name="Comma 67 3" xfId="3237" xr:uid="{CC216E37-B77D-4B2D-8A39-5D3E5A34CDFF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39" xr:uid="{1CADF353-68BA-4DFB-B374-0D7EE047E08F}"/>
    <cellStyle name="Comma 7 3" xfId="1093" xr:uid="{00000000-0005-0000-0000-000045040000}"/>
    <cellStyle name="Comma 7 3 2" xfId="1094" xr:uid="{00000000-0005-0000-0000-000046040000}"/>
    <cellStyle name="Comma 7 3 3" xfId="3240" xr:uid="{835024D2-B909-4688-B05D-C91A4F3D7A27}"/>
    <cellStyle name="Comma 7 4" xfId="3238" xr:uid="{260CA9A1-43C0-4428-97CB-8019377B649C}"/>
    <cellStyle name="Comma 72" xfId="1095" xr:uid="{00000000-0005-0000-0000-000047040000}"/>
    <cellStyle name="Comma 72 2" xfId="3241" xr:uid="{CB5DC2D6-E1D7-4056-BC08-293E63EB7B92}"/>
    <cellStyle name="Comma 74" xfId="1096" xr:uid="{00000000-0005-0000-0000-000048040000}"/>
    <cellStyle name="Comma 74 2" xfId="1097" xr:uid="{00000000-0005-0000-0000-000049040000}"/>
    <cellStyle name="Comma 74 3" xfId="3242" xr:uid="{C9747E0D-C5F3-4FDF-8B15-411E079C449A}"/>
    <cellStyle name="Comma 75" xfId="1098" xr:uid="{00000000-0005-0000-0000-00004A040000}"/>
    <cellStyle name="Comma 75 2" xfId="1099" xr:uid="{00000000-0005-0000-0000-00004B040000}"/>
    <cellStyle name="Comma 75 3" xfId="3243" xr:uid="{6DD756CA-440A-42DA-93C3-6E6794A68EB1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46" xr:uid="{E6D3A273-6ED8-41EC-A3AE-D1ED3B98A6B7}"/>
    <cellStyle name="Comma 8 2 3" xfId="1104" xr:uid="{00000000-0005-0000-0000-000050040000}"/>
    <cellStyle name="Comma 8 2 4" xfId="3245" xr:uid="{53BD504F-FD90-4174-AA5D-8ACFE1B056A8}"/>
    <cellStyle name="Comma 8 3" xfId="1105" xr:uid="{00000000-0005-0000-0000-000051040000}"/>
    <cellStyle name="Comma 8 4" xfId="3244" xr:uid="{6A6D2459-6B18-45C0-BA77-3BC0613ECD24}"/>
    <cellStyle name="Comma 82" xfId="1106" xr:uid="{00000000-0005-0000-0000-000052040000}"/>
    <cellStyle name="Comma 82 2" xfId="1107" xr:uid="{00000000-0005-0000-0000-000053040000}"/>
    <cellStyle name="Comma 82 3" xfId="3247" xr:uid="{C0A882F4-2073-4947-BD3B-E63B032E8687}"/>
    <cellStyle name="Comma 83" xfId="1108" xr:uid="{00000000-0005-0000-0000-000054040000}"/>
    <cellStyle name="Comma 83 2" xfId="1109" xr:uid="{00000000-0005-0000-0000-000055040000}"/>
    <cellStyle name="Comma 83 3" xfId="3248" xr:uid="{45DDCC92-1F7E-4149-A8CA-508AA77B8A67}"/>
    <cellStyle name="Comma 85" xfId="1110" xr:uid="{00000000-0005-0000-0000-000056040000}"/>
    <cellStyle name="Comma 85 2" xfId="1111" xr:uid="{00000000-0005-0000-0000-000057040000}"/>
    <cellStyle name="Comma 85 3" xfId="3249" xr:uid="{AEC7B44C-F92D-4EF3-A745-829D1718239B}"/>
    <cellStyle name="Comma 86" xfId="1112" xr:uid="{00000000-0005-0000-0000-000058040000}"/>
    <cellStyle name="Comma 86 2" xfId="1113" xr:uid="{00000000-0005-0000-0000-000059040000}"/>
    <cellStyle name="Comma 86 3" xfId="3250" xr:uid="{3A771752-0C13-42DA-90B3-A3BF9B17AFB0}"/>
    <cellStyle name="Comma 89" xfId="1114" xr:uid="{00000000-0005-0000-0000-00005A040000}"/>
    <cellStyle name="Comma 89 2" xfId="3251" xr:uid="{0ADB5C9F-6862-42E5-85BF-B22037A02835}"/>
    <cellStyle name="Comma 9" xfId="1115" xr:uid="{00000000-0005-0000-0000-00005B040000}"/>
    <cellStyle name="Comma 9 2" xfId="1116" xr:uid="{00000000-0005-0000-0000-00005C040000}"/>
    <cellStyle name="Comma 9 2 2" xfId="3253" xr:uid="{44C73C88-B2F2-4AE3-9DE2-99364388C1D5}"/>
    <cellStyle name="Comma 9 3" xfId="1117" xr:uid="{00000000-0005-0000-0000-00005D040000}"/>
    <cellStyle name="Comma 9 3 2" xfId="3254" xr:uid="{E01C9E03-9A0D-4872-A38B-4E5596FF2F8E}"/>
    <cellStyle name="Comma 9 4" xfId="1118" xr:uid="{00000000-0005-0000-0000-00005E040000}"/>
    <cellStyle name="Comma 9 5" xfId="3252" xr:uid="{2B4D36E4-A939-4695-9925-C3E69456DCCE}"/>
    <cellStyle name="Comma 98" xfId="1119" xr:uid="{00000000-0005-0000-0000-00005F040000}"/>
    <cellStyle name="Comma 98 2" xfId="3255" xr:uid="{307ECC8E-2A69-4963-AA81-55DF0BDCB95E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56" xr:uid="{5FEFA9EB-6769-4415-88E9-CCA364E10980}"/>
    <cellStyle name="Currency [0] 3" xfId="1127" xr:uid="{00000000-0005-0000-0000-000067040000}"/>
    <cellStyle name="Currency [0] 3 2" xfId="3257" xr:uid="{23AA03A1-0E8C-49B3-B810-F121C6A5E4DB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3" xfId="2932" xr:uid="{DA2E1E71-2465-4B3C-B2A9-34E6C2CA56F8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3" xfId="2931" xr:uid="{9BB48AFA-6F7E-4DEA-991E-31C7B9061BA6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a row of totals 3" xfId="2930" xr:uid="{731C9171-2437-45D1-9205-7C8CCFB6659E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3" xfId="2929" xr:uid="{3DABCBAE-47DD-4909-8E71-01CC19830B37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3" xfId="2928" xr:uid="{58CE357B-A060-40C2-A88E-C9B8B346FD11}"/>
    <cellStyle name="Input 11" xfId="1350" xr:uid="{00000000-0005-0000-0000-000046050000}"/>
    <cellStyle name="Input 11 2" xfId="1351" xr:uid="{00000000-0005-0000-0000-000047050000}"/>
    <cellStyle name="Input 11 3" xfId="2927" xr:uid="{1B45B334-31AA-4E64-8C75-93315ACDF1C2}"/>
    <cellStyle name="Input 12" xfId="1352" xr:uid="{00000000-0005-0000-0000-000048050000}"/>
    <cellStyle name="Input 12 2" xfId="1353" xr:uid="{00000000-0005-0000-0000-000049050000}"/>
    <cellStyle name="Input 12 3" xfId="2926" xr:uid="{66AB8BDD-585A-464F-BF59-2F576D8DEC09}"/>
    <cellStyle name="Input 13" xfId="1354" xr:uid="{00000000-0005-0000-0000-00004A050000}"/>
    <cellStyle name="Input 13 2" xfId="1355" xr:uid="{00000000-0005-0000-0000-00004B050000}"/>
    <cellStyle name="Input 13 3" xfId="2925" xr:uid="{24C0C190-B2CF-4748-975C-B58127BFAB51}"/>
    <cellStyle name="Input 14" xfId="1356" xr:uid="{00000000-0005-0000-0000-00004C050000}"/>
    <cellStyle name="Input 14 2" xfId="1357" xr:uid="{00000000-0005-0000-0000-00004D050000}"/>
    <cellStyle name="Input 14 3" xfId="2924" xr:uid="{F75D89E0-2DD1-482F-9459-B1F67D5689AF}"/>
    <cellStyle name="Input 15" xfId="1358" xr:uid="{00000000-0005-0000-0000-00004E050000}"/>
    <cellStyle name="Input 15 2" xfId="1359" xr:uid="{00000000-0005-0000-0000-00004F050000}"/>
    <cellStyle name="Input 15 3" xfId="2923" xr:uid="{F2EC13E3-4046-441F-AB2D-C8592844AE4D}"/>
    <cellStyle name="Input 16" xfId="1360" xr:uid="{00000000-0005-0000-0000-000050050000}"/>
    <cellStyle name="Input 16 2" xfId="1361" xr:uid="{00000000-0005-0000-0000-000051050000}"/>
    <cellStyle name="Input 16 3" xfId="2922" xr:uid="{86D033CB-0F6F-45CA-9150-E628D08E7F99}"/>
    <cellStyle name="Input 17" xfId="1362" xr:uid="{00000000-0005-0000-0000-000052050000}"/>
    <cellStyle name="Input 17 2" xfId="1363" xr:uid="{00000000-0005-0000-0000-000053050000}"/>
    <cellStyle name="Input 17 3" xfId="2921" xr:uid="{6F1C903F-95F7-4E10-80D1-E5615076AEF3}"/>
    <cellStyle name="Input 18" xfId="1364" xr:uid="{00000000-0005-0000-0000-000054050000}"/>
    <cellStyle name="Input 18 2" xfId="1365" xr:uid="{00000000-0005-0000-0000-000055050000}"/>
    <cellStyle name="Input 18 3" xfId="2920" xr:uid="{7EEDDF93-33AC-41B0-9048-69E2C93E2EE4}"/>
    <cellStyle name="Input 19" xfId="1366" xr:uid="{00000000-0005-0000-0000-000056050000}"/>
    <cellStyle name="Input 19 2" xfId="1367" xr:uid="{00000000-0005-0000-0000-000057050000}"/>
    <cellStyle name="Input 19 3" xfId="2919" xr:uid="{090EC19A-90DD-4E7A-8D66-CC154D7B33C7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2 3" xfId="2918" xr:uid="{38C69D8B-BD0E-4257-9DFA-96FD0E006C90}"/>
    <cellStyle name="Input 2 3" xfId="1371" xr:uid="{00000000-0005-0000-0000-00005B050000}"/>
    <cellStyle name="Input 2 3 2" xfId="1372" xr:uid="{00000000-0005-0000-0000-00005C050000}"/>
    <cellStyle name="Input 2 3 3" xfId="2917" xr:uid="{26374E88-724F-40F2-B73C-992225E2305E}"/>
    <cellStyle name="Input 2 4" xfId="1373" xr:uid="{00000000-0005-0000-0000-00005D050000}"/>
    <cellStyle name="Input 2 5" xfId="2690" xr:uid="{2F699014-CAAE-4AFE-B474-7870C5E0BE42}"/>
    <cellStyle name="Input 20" xfId="1374" xr:uid="{00000000-0005-0000-0000-00005E050000}"/>
    <cellStyle name="Input 20 2" xfId="1375" xr:uid="{00000000-0005-0000-0000-00005F050000}"/>
    <cellStyle name="Input 20 3" xfId="2916" xr:uid="{2C579219-8ADB-4F8F-AED7-672EFE4D4ADB}"/>
    <cellStyle name="Input 21" xfId="1376" xr:uid="{00000000-0005-0000-0000-000060050000}"/>
    <cellStyle name="Input 21 2" xfId="1377" xr:uid="{00000000-0005-0000-0000-000061050000}"/>
    <cellStyle name="Input 21 3" xfId="2915" xr:uid="{3FFD0611-40BE-4F1F-9F9D-7FF79C4DE07C}"/>
    <cellStyle name="Input 22" xfId="3436" xr:uid="{E801B612-C8AE-4AA4-9BD4-38D2443EF9B2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3" xfId="2913" xr:uid="{5AB93F1C-39FD-4EEF-976A-89FBB0AD61F3}"/>
    <cellStyle name="Input 3 3" xfId="1381" xr:uid="{00000000-0005-0000-0000-000065050000}"/>
    <cellStyle name="Input 3 4" xfId="2914" xr:uid="{B6C50C5F-348A-4E6B-A285-8A09F00D8CA9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3" xfId="2911" xr:uid="{9C136E53-73EC-4ADE-BE15-DC4571CFC26E}"/>
    <cellStyle name="Input 4 3" xfId="1385" xr:uid="{00000000-0005-0000-0000-000069050000}"/>
    <cellStyle name="Input 4 4" xfId="2912" xr:uid="{E1EEF1C2-E222-4324-AE8F-CC1FAF13053F}"/>
    <cellStyle name="Input 5" xfId="1386" xr:uid="{00000000-0005-0000-0000-00006A050000}"/>
    <cellStyle name="Input 5 2" xfId="1387" xr:uid="{00000000-0005-0000-0000-00006B050000}"/>
    <cellStyle name="Input 5 3" xfId="2910" xr:uid="{2C7D262B-EE53-4526-9F48-1E3C654FB154}"/>
    <cellStyle name="Input 6" xfId="1388" xr:uid="{00000000-0005-0000-0000-00006C050000}"/>
    <cellStyle name="Input 6 2" xfId="1389" xr:uid="{00000000-0005-0000-0000-00006D050000}"/>
    <cellStyle name="Input 6 3" xfId="2909" xr:uid="{C0328CC3-A67F-4BCC-AD3B-CA1CAFFF8578}"/>
    <cellStyle name="Input 7" xfId="1390" xr:uid="{00000000-0005-0000-0000-00006E050000}"/>
    <cellStyle name="Input 7 2" xfId="1391" xr:uid="{00000000-0005-0000-0000-00006F050000}"/>
    <cellStyle name="Input 7 3" xfId="2908" xr:uid="{2E3979BF-5CEE-4AEF-BA23-126CF92C8CC0}"/>
    <cellStyle name="Input 8" xfId="1392" xr:uid="{00000000-0005-0000-0000-000070050000}"/>
    <cellStyle name="Input 8 2" xfId="1393" xr:uid="{00000000-0005-0000-0000-000071050000}"/>
    <cellStyle name="Input 8 3" xfId="2907" xr:uid="{A52A3FC5-02C7-4B3E-9F18-BF955DE83C10}"/>
    <cellStyle name="Input 9" xfId="1394" xr:uid="{00000000-0005-0000-0000-000072050000}"/>
    <cellStyle name="Input 9 2" xfId="1395" xr:uid="{00000000-0005-0000-0000-000073050000}"/>
    <cellStyle name="Input 9 3" xfId="2906" xr:uid="{C5959059-E673-4607-8F33-826534E025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58" xr:uid="{495A3E62-F1C9-4C84-9224-DCAD10682952}"/>
    <cellStyle name="Normal 16 3" xfId="1573" xr:uid="{00000000-0005-0000-0000-000026060000}"/>
    <cellStyle name="Normal 16 3 2" xfId="1574" xr:uid="{00000000-0005-0000-0000-000027060000}"/>
    <cellStyle name="Normal 16 3 2 2" xfId="3260" xr:uid="{323C925D-5BB2-459C-B34B-AB191C4C1AF0}"/>
    <cellStyle name="Normal 16 3 3" xfId="3259" xr:uid="{3A08BA7E-D7D5-477B-B59E-88E1337C4651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61" xr:uid="{9BDF2613-787E-4A06-8A7C-57DB56CB9C81}"/>
    <cellStyle name="Normal 18_4_Pembangunan JTM Baru Penyulang CPU 5" xfId="1596" xr:uid="{00000000-0005-0000-0000-00003D060000}"/>
    <cellStyle name="Normal 19" xfId="1597" xr:uid="{00000000-0005-0000-0000-00003E060000}"/>
    <cellStyle name="Normal 19 2" xfId="3265" xr:uid="{32CE523F-5AA4-4146-816A-2DBD8A4FB77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73" xr:uid="{C3150EB1-5635-4E20-8B0E-C560B490354E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76" xr:uid="{0142D55B-22C4-4A02-8A1D-10F9D9BA23A5}"/>
    <cellStyle name="Normal 2 11 3" xfId="1618" xr:uid="{00000000-0005-0000-0000-000053060000}"/>
    <cellStyle name="Normal 2 11 3 2" xfId="3277" xr:uid="{44C1C540-66BE-4F7B-A6C7-014377CEEC60}"/>
    <cellStyle name="Normal 2 11 4" xfId="1619" xr:uid="{00000000-0005-0000-0000-000054060000}"/>
    <cellStyle name="Normal 2 11 4 2" xfId="3278" xr:uid="{1104D0DD-4D1F-4501-A733-7A19014EC7CB}"/>
    <cellStyle name="Normal 2 11 5" xfId="3275" xr:uid="{97F8249D-C363-46CE-9CD0-C279B4EE62CF}"/>
    <cellStyle name="Normal 2 12" xfId="1620" xr:uid="{00000000-0005-0000-0000-000055060000}"/>
    <cellStyle name="Normal 2 12 2" xfId="1621" xr:uid="{00000000-0005-0000-0000-000056060000}"/>
    <cellStyle name="Normal 2 12 2 2" xfId="3280" xr:uid="{032856D2-99D8-4AC5-B28D-E79BE424C667}"/>
    <cellStyle name="Normal 2 12 3" xfId="3279" xr:uid="{D0EC0A8D-CC9F-497C-8187-BAF124384B84}"/>
    <cellStyle name="Normal 2 12_SR DERET_ASLI" xfId="1622" xr:uid="{00000000-0005-0000-0000-000057060000}"/>
    <cellStyle name="Normal 2 13" xfId="1623" xr:uid="{00000000-0005-0000-0000-000058060000}"/>
    <cellStyle name="Normal 2 13 2" xfId="3281" xr:uid="{BD71162D-0A7C-4328-AD3D-C5E9E8AA9F5F}"/>
    <cellStyle name="Normal 2 14" xfId="1624" xr:uid="{00000000-0005-0000-0000-000059060000}"/>
    <cellStyle name="Normal 2 15" xfId="1625" xr:uid="{00000000-0005-0000-0000-00005A060000}"/>
    <cellStyle name="Normal 2 15 2" xfId="3282" xr:uid="{87B0AF1A-1F1D-49DE-AC80-D40C596ED086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85" xr:uid="{EF3F449A-4084-463C-9A50-143AE063D973}"/>
    <cellStyle name="Normal 2 2 11" xfId="1636" xr:uid="{00000000-0005-0000-0000-000065060000}"/>
    <cellStyle name="Normal 2 2 11 2" xfId="3286" xr:uid="{096161DF-18EA-4D53-9E3F-6C21BB50C93B}"/>
    <cellStyle name="Normal 2 2 12" xfId="1637" xr:uid="{00000000-0005-0000-0000-000066060000}"/>
    <cellStyle name="Normal 2 2 12 2" xfId="3287" xr:uid="{A3EF6B00-0EAE-4EFD-A94B-25799062AB9B}"/>
    <cellStyle name="Normal 2 2 13" xfId="1638" xr:uid="{00000000-0005-0000-0000-000067060000}"/>
    <cellStyle name="Normal 2 2 13 2" xfId="3288" xr:uid="{390BE22F-AABD-4590-AF54-65DB9742B6DD}"/>
    <cellStyle name="Normal 2 2 14" xfId="1639" xr:uid="{00000000-0005-0000-0000-000068060000}"/>
    <cellStyle name="Normal 2 2 14 2" xfId="3289" xr:uid="{8A061711-B00B-44CE-AE85-634A5A85E1ED}"/>
    <cellStyle name="Normal 2 2 15" xfId="1640" xr:uid="{00000000-0005-0000-0000-000069060000}"/>
    <cellStyle name="Normal 2 2 15 2" xfId="3290" xr:uid="{12D10116-9C77-4F08-BA85-2ADB0FF343C4}"/>
    <cellStyle name="Normal 2 2 16" xfId="1641" xr:uid="{00000000-0005-0000-0000-00006A060000}"/>
    <cellStyle name="Normal 2 2 16 2" xfId="3291" xr:uid="{B386C83C-D6A3-4F5A-9819-1B8709699211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92" xr:uid="{9D947B34-42DE-4113-9F9C-07035C5EFBF1}"/>
    <cellStyle name="Normal 2 2 5" xfId="1674" xr:uid="{00000000-0005-0000-0000-00008B060000}"/>
    <cellStyle name="Normal 2 2 5 2" xfId="3293" xr:uid="{7FF3E55F-EA01-4CCE-9508-AAADE0CC4D26}"/>
    <cellStyle name="Normal 2 2 6" xfId="1675" xr:uid="{00000000-0005-0000-0000-00008C060000}"/>
    <cellStyle name="Normal 2 2 6 2" xfId="3294" xr:uid="{32719AF6-22E1-4D0D-866D-CFD22FA2D27F}"/>
    <cellStyle name="Normal 2 2 7" xfId="1676" xr:uid="{00000000-0005-0000-0000-00008D060000}"/>
    <cellStyle name="Normal 2 2 7 2" xfId="3295" xr:uid="{AAA7A239-288E-4213-8A89-234628999E55}"/>
    <cellStyle name="Normal 2 2 8" xfId="1677" xr:uid="{00000000-0005-0000-0000-00008E060000}"/>
    <cellStyle name="Normal 2 2 8 2" xfId="3296" xr:uid="{D1B27539-184B-40E1-803A-5E23985CAD27}"/>
    <cellStyle name="Normal 2 2 9" xfId="1678" xr:uid="{00000000-0005-0000-0000-00008F060000}"/>
    <cellStyle name="Normal 2 2 9 2" xfId="3297" xr:uid="{99252D05-3C42-416B-A702-8B1FC808714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9" xr:uid="{B3503418-602D-4FB6-BD60-85208F24A4FF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98" xr:uid="{91544638-2F39-46FF-A1ED-820BA56A9715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99" xr:uid="{3170E563-0268-4C95-A6FC-FA7E3252F7BF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300" xr:uid="{BBA06656-B5D6-437B-8356-84AE7A2F9218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301" xr:uid="{85C19FD7-FFBE-43FA-9549-0E4D9671704F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302" xr:uid="{9760C342-1A04-404F-A500-CBC83BDC62F3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303" xr:uid="{BAD1EAC7-BF73-4910-A6D6-3BF72130C98F}"/>
    <cellStyle name="Normal 21_DATA DINGO &amp; IMG _OK" xfId="1884" xr:uid="{00000000-0005-0000-0000-00005D070000}"/>
    <cellStyle name="Normal 22" xfId="1885" xr:uid="{00000000-0005-0000-0000-00005E070000}"/>
    <cellStyle name="Normal 22 2" xfId="3304" xr:uid="{3C7FFEC5-2877-4C11-9BF4-0FFB9EFFA552}"/>
    <cellStyle name="Normal 23" xfId="1886" xr:uid="{00000000-0005-0000-0000-00005F070000}"/>
    <cellStyle name="Normal 23 2" xfId="3305" xr:uid="{4BC8057D-69E6-4933-9878-9A2C556CA998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7" xr:uid="{2DB2A3E9-798E-424E-B433-C15A6DA59643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307" xr:uid="{3A45F8EA-6703-4C50-B882-ACF519DADC9F}"/>
    <cellStyle name="Normal 8 3" xfId="2024" xr:uid="{00000000-0005-0000-0000-0000E9070000}"/>
    <cellStyle name="Normal 8 4" xfId="3306" xr:uid="{1D9E9D50-0FC2-4000-BBCC-5690C7364E3E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311" xr:uid="{F459A9BC-70D7-4C71-868A-BA96BB5E3419}"/>
    <cellStyle name="Normal 9 2 2 3" xfId="2046" xr:uid="{00000000-0005-0000-0000-0000FF070000}"/>
    <cellStyle name="Normal 9 2 2 3 2" xfId="3312" xr:uid="{0BA2357A-BB62-4657-BB3E-2910A5FD297A}"/>
    <cellStyle name="Normal 9 2 2 4" xfId="2047" xr:uid="{00000000-0005-0000-0000-000000080000}"/>
    <cellStyle name="Normal 9 2 2 4 2" xfId="3313" xr:uid="{150481DF-9D30-41D1-9CF1-D92336955695}"/>
    <cellStyle name="Normal 9 2 2 5" xfId="3310" xr:uid="{333D9ED8-AB61-423E-A156-37CC260D10CB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317" xr:uid="{09761D9B-8A23-4437-A8F2-79840175E3D5}"/>
    <cellStyle name="Normal 9 2 3 2 2 3" xfId="2052" xr:uid="{00000000-0005-0000-0000-000005080000}"/>
    <cellStyle name="Normal 9 2 3 2 2 3 2" xfId="3318" xr:uid="{1B2BB68B-3993-462C-B8DA-8F60EBC594BB}"/>
    <cellStyle name="Normal 9 2 3 2 2 4" xfId="2053" xr:uid="{00000000-0005-0000-0000-000006080000}"/>
    <cellStyle name="Normal 9 2 3 2 2 4 2" xfId="3319" xr:uid="{92860803-86A5-4364-A8DA-1C33B1EF21C5}"/>
    <cellStyle name="Normal 9 2 3 2 2 5" xfId="2054" xr:uid="{00000000-0005-0000-0000-000007080000}"/>
    <cellStyle name="Normal 9 2 3 2 2 5 2" xfId="3320" xr:uid="{4BD6946B-DB74-413A-8148-839D9F9BED27}"/>
    <cellStyle name="Normal 9 2 3 2 2 6" xfId="3316" xr:uid="{6B379693-7135-4B71-BCA1-673A84355543}"/>
    <cellStyle name="Normal 9 2 3 2 3" xfId="2055" xr:uid="{00000000-0005-0000-0000-000008080000}"/>
    <cellStyle name="Normal 9 2 3 2 3 2" xfId="2056" xr:uid="{00000000-0005-0000-0000-000009080000}"/>
    <cellStyle name="Normal 9 2 3 2 3 2 2" xfId="3322" xr:uid="{929A64D9-B9E3-4E5E-8E76-502E4A0A78BE}"/>
    <cellStyle name="Normal 9 2 3 2 3 3" xfId="2057" xr:uid="{00000000-0005-0000-0000-00000A080000}"/>
    <cellStyle name="Normal 9 2 3 2 3 3 2" xfId="3323" xr:uid="{BFF32C88-475A-4805-856A-2E6988C78D51}"/>
    <cellStyle name="Normal 9 2 3 2 3 4" xfId="2058" xr:uid="{00000000-0005-0000-0000-00000B080000}"/>
    <cellStyle name="Normal 9 2 3 2 3 4 2" xfId="3324" xr:uid="{D4089574-C3FD-4056-BF15-AF1F96D2347B}"/>
    <cellStyle name="Normal 9 2 3 2 3 5" xfId="3321" xr:uid="{50421CBC-6A53-4C78-A3C0-65E4CC297281}"/>
    <cellStyle name="Normal 9 2 3 2 4" xfId="2059" xr:uid="{00000000-0005-0000-0000-00000C080000}"/>
    <cellStyle name="Normal 9 2 3 2 4 2" xfId="3325" xr:uid="{D2ACF4C2-8978-40FD-AFF3-207BA6872139}"/>
    <cellStyle name="Normal 9 2 3 2 5" xfId="2060" xr:uid="{00000000-0005-0000-0000-00000D080000}"/>
    <cellStyle name="Normal 9 2 3 2 5 2" xfId="3326" xr:uid="{79CDCFFA-BE50-4758-9460-20823CB4C3EB}"/>
    <cellStyle name="Normal 9 2 3 2 6" xfId="2061" xr:uid="{00000000-0005-0000-0000-00000E080000}"/>
    <cellStyle name="Normal 9 2 3 2 6 2" xfId="3327" xr:uid="{1933AED8-96D8-4F22-8C68-E70B975E90AD}"/>
    <cellStyle name="Normal 9 2 3 2 7" xfId="3315" xr:uid="{71D72A25-485E-4DA9-A34F-D168351CB789}"/>
    <cellStyle name="Normal 9 2 3 2_PETA POHON LITA TRW I 2010" xfId="2062" xr:uid="{00000000-0005-0000-0000-00000F080000}"/>
    <cellStyle name="Normal 9 2 3 3" xfId="2063" xr:uid="{00000000-0005-0000-0000-000010080000}"/>
    <cellStyle name="Normal 9 2 3 3 2" xfId="3328" xr:uid="{8005DD08-6E28-463A-AFAA-C5CD916AEA80}"/>
    <cellStyle name="Normal 9 2 3 4" xfId="2064" xr:uid="{00000000-0005-0000-0000-000011080000}"/>
    <cellStyle name="Normal 9 2 3 4 2" xfId="3329" xr:uid="{51D46AEE-676C-4D49-B221-ACFD2740FFB8}"/>
    <cellStyle name="Normal 9 2 3 5" xfId="2065" xr:uid="{00000000-0005-0000-0000-000012080000}"/>
    <cellStyle name="Normal 9 2 3 5 2" xfId="3330" xr:uid="{B59C3F4F-CFD0-4B4B-9206-A2C9CEC9B8E8}"/>
    <cellStyle name="Normal 9 2 3 6" xfId="3314" xr:uid="{44AC5089-79EB-436E-A126-64A6B3AE0921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331" xr:uid="{AAE9D1A4-5232-4477-BBA2-374AA73CC3D5}"/>
    <cellStyle name="Normal 9 2 5" xfId="2068" xr:uid="{00000000-0005-0000-0000-000015080000}"/>
    <cellStyle name="Normal 9 2 5 2" xfId="3332" xr:uid="{B2F25EC9-E4FB-4230-8219-769BA0DA9725}"/>
    <cellStyle name="Normal 9 2 6" xfId="2069" xr:uid="{00000000-0005-0000-0000-000016080000}"/>
    <cellStyle name="Normal 9 2 6 2" xfId="3333" xr:uid="{5A5B9026-8B7E-4D53-99BD-CA61CC82A9DC}"/>
    <cellStyle name="Normal 9 2 7" xfId="3309" xr:uid="{580E0C83-02D5-4402-9A85-196DAE054117}"/>
    <cellStyle name="Normal 9 2_ENTRI RABAS-RABAS TRW IV_LT_qq" xfId="2070" xr:uid="{00000000-0005-0000-0000-000017080000}"/>
    <cellStyle name="Normal 9 3" xfId="2071" xr:uid="{00000000-0005-0000-0000-000018080000}"/>
    <cellStyle name="Normal 9 3 2" xfId="3334" xr:uid="{CCD360B8-2A24-4B36-8A40-50B4C147E67A}"/>
    <cellStyle name="Normal 9 4" xfId="2072" xr:uid="{00000000-0005-0000-0000-000019080000}"/>
    <cellStyle name="Normal 9 4 2" xfId="3335" xr:uid="{408815B0-FBB2-41D7-9542-07FA1B1E6492}"/>
    <cellStyle name="Normal 9 5" xfId="2073" xr:uid="{00000000-0005-0000-0000-00001A080000}"/>
    <cellStyle name="Normal 9 5 2" xfId="3336" xr:uid="{2D251033-3BAE-4836-A0AD-F8322727F48B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308" xr:uid="{089FA401-D657-4288-9A82-6C8120D6143F}"/>
    <cellStyle name="Normal 9 9" xfId="3439" xr:uid="{9046D585-03E2-49F9-BC81-6553C5F1C6C7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3" xfId="3441" xr:uid="{61D8BAC7-AE5C-4381-A95F-385F630D529A}"/>
    <cellStyle name="Note 10 3" xfId="2095" xr:uid="{00000000-0005-0000-0000-000030080000}"/>
    <cellStyle name="Note 10 4" xfId="3440" xr:uid="{2BB307DD-291F-4752-80B9-7DFFE7E32AAE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3" xfId="3443" xr:uid="{A93CEC5C-49BE-44D7-8F63-C09E79CB3A86}"/>
    <cellStyle name="Note 11 3" xfId="2100" xr:uid="{00000000-0005-0000-0000-000035080000}"/>
    <cellStyle name="Note 11 4" xfId="3442" xr:uid="{D814832A-1AE6-4A4A-9CC6-135F76F21B8E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3" xfId="3445" xr:uid="{D601F7A8-2823-4A00-B7B6-7C1FD3601356}"/>
    <cellStyle name="Note 12 3" xfId="2105" xr:uid="{00000000-0005-0000-0000-00003A080000}"/>
    <cellStyle name="Note 12 4" xfId="3444" xr:uid="{F1D79D1E-12C9-49CC-93E9-E8646C62DBA4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3" xfId="3447" xr:uid="{492DB9B0-406C-42C0-AA5B-D4B27566E7CC}"/>
    <cellStyle name="Note 13 3" xfId="2110" xr:uid="{00000000-0005-0000-0000-00003F080000}"/>
    <cellStyle name="Note 13 4" xfId="3446" xr:uid="{C3A32DE8-3253-46D9-B477-D4452DA13E16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3" xfId="3449" xr:uid="{820F8B79-FC77-48A2-8A66-EC763579B950}"/>
    <cellStyle name="Note 14 3" xfId="2115" xr:uid="{00000000-0005-0000-0000-000044080000}"/>
    <cellStyle name="Note 14 4" xfId="3448" xr:uid="{A370139B-CB79-454D-A8D1-FF89D62CC22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3" xfId="3451" xr:uid="{5A6607E1-C4A1-474D-BD01-59B916971129}"/>
    <cellStyle name="Note 15 3" xfId="2120" xr:uid="{00000000-0005-0000-0000-000049080000}"/>
    <cellStyle name="Note 15 4" xfId="3450" xr:uid="{D1122FEC-821D-4E67-AAD9-3F347A6C607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2 3" xfId="3453" xr:uid="{34160D5A-DFA9-4911-81CB-3A2F911AD616}"/>
    <cellStyle name="Note 16 3" xfId="2125" xr:uid="{00000000-0005-0000-0000-00004E080000}"/>
    <cellStyle name="Note 16 4" xfId="3337" xr:uid="{51D59DF8-C7E4-4794-8472-305F64246E9E}"/>
    <cellStyle name="Note 16 5" xfId="3452" xr:uid="{71066E6B-67CD-4097-A919-8CE073020785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2 3" xfId="3455" xr:uid="{25D5AF75-7F88-451B-9917-FF4731C47F1B}"/>
    <cellStyle name="Note 17 3" xfId="2130" xr:uid="{00000000-0005-0000-0000-000053080000}"/>
    <cellStyle name="Note 17 4" xfId="3338" xr:uid="{B5265E53-BEC6-4424-97FF-BD38D94AC385}"/>
    <cellStyle name="Note 17 5" xfId="3454" xr:uid="{49ADC3C0-E34A-47D3-8D93-87CE555C879C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2 3" xfId="3457" xr:uid="{31CCEDF5-AD44-4F11-A1A8-0684792BF5B5}"/>
    <cellStyle name="Note 18 3" xfId="2135" xr:uid="{00000000-0005-0000-0000-000058080000}"/>
    <cellStyle name="Note 18 4" xfId="3339" xr:uid="{67528973-0560-4448-99A8-E370CA8C482A}"/>
    <cellStyle name="Note 18 5" xfId="3456" xr:uid="{897A96C1-D17E-4E3C-8241-59A1A960859B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2 3" xfId="3459" xr:uid="{3D2B86F4-0B7F-4B11-9E4C-0589A299800F}"/>
    <cellStyle name="Note 19 3" xfId="2140" xr:uid="{00000000-0005-0000-0000-00005D080000}"/>
    <cellStyle name="Note 19 4" xfId="3340" xr:uid="{AE8721FE-97DB-47C6-950B-D55BF259ECD7}"/>
    <cellStyle name="Note 19 5" xfId="3458" xr:uid="{DC0EA08D-334D-4172-BA6D-519F48F139E7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2 3" xfId="3461" xr:uid="{53848EBE-4C6B-4A39-8B3C-F613C66F6D96}"/>
    <cellStyle name="Note 2 3" xfId="2145" xr:uid="{00000000-0005-0000-0000-000062080000}"/>
    <cellStyle name="Note 2 3 2" xfId="2146" xr:uid="{00000000-0005-0000-0000-000063080000}"/>
    <cellStyle name="Note 2 3 3" xfId="3462" xr:uid="{59C5BA34-6091-4361-96C4-B2436F233193}"/>
    <cellStyle name="Note 2 4" xfId="2147" xr:uid="{00000000-0005-0000-0000-000064080000}"/>
    <cellStyle name="Note 2 5" xfId="3460" xr:uid="{5F2D018F-1AA1-40FF-B975-618DFA9A3983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2 3" xfId="3464" xr:uid="{3ED525B6-C515-42CC-B2FD-E5F413367857}"/>
    <cellStyle name="Note 20 3" xfId="2152" xr:uid="{00000000-0005-0000-0000-000069080000}"/>
    <cellStyle name="Note 20 4" xfId="3341" xr:uid="{394BCCED-E9AE-43DF-9C58-6E7E7C5D1BFC}"/>
    <cellStyle name="Note 20 5" xfId="3463" xr:uid="{2851D2FD-35C6-473C-82E3-7F5B94CFC009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2 3" xfId="3466" xr:uid="{73EDF09B-EBC5-464B-BED7-BD7C7571B22E}"/>
    <cellStyle name="Note 21 3" xfId="2157" xr:uid="{00000000-0005-0000-0000-00006E080000}"/>
    <cellStyle name="Note 21 4" xfId="3342" xr:uid="{7CDF814C-1553-41BB-8D50-24BDC45CE8BD}"/>
    <cellStyle name="Note 21 5" xfId="3465" xr:uid="{34C85951-83BD-4EC3-82AF-1691C7FE2839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2 3" xfId="3468" xr:uid="{CA7C55E7-41F0-4EF7-8105-103B87D5E6CD}"/>
    <cellStyle name="Note 22 3" xfId="2162" xr:uid="{00000000-0005-0000-0000-000073080000}"/>
    <cellStyle name="Note 22 4" xfId="3343" xr:uid="{7502A748-DAE7-47B8-83FD-83960746F480}"/>
    <cellStyle name="Note 22 5" xfId="3467" xr:uid="{B347E5AB-5875-447A-8E27-06222DA095B9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2 3" xfId="3470" xr:uid="{5E5A499F-9B70-48D2-A14B-85E15484355D}"/>
    <cellStyle name="Note 23 3" xfId="2167" xr:uid="{00000000-0005-0000-0000-000078080000}"/>
    <cellStyle name="Note 23 4" xfId="3344" xr:uid="{C8C02838-CACE-4BD0-BCDC-4878823CD9B0}"/>
    <cellStyle name="Note 23 5" xfId="3469" xr:uid="{3EE0B385-A381-4B77-BE47-23C064649C53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2 3" xfId="3472" xr:uid="{12BFCB24-D800-48EA-901F-EA0024549CE9}"/>
    <cellStyle name="Note 24 3" xfId="2172" xr:uid="{00000000-0005-0000-0000-00007D080000}"/>
    <cellStyle name="Note 24 4" xfId="3345" xr:uid="{DECD8FF3-EB57-4DC0-BE6C-4728F87020F1}"/>
    <cellStyle name="Note 24 5" xfId="3471" xr:uid="{05CBD1F4-9A12-4B59-A846-048DEC3896A3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2 3" xfId="3474" xr:uid="{267950E7-B7EF-4A07-AAFD-481418F64684}"/>
    <cellStyle name="Note 25 3" xfId="2177" xr:uid="{00000000-0005-0000-0000-000082080000}"/>
    <cellStyle name="Note 25 4" xfId="3346" xr:uid="{AAC8B93C-C8B9-4E24-8EC4-26728420BE03}"/>
    <cellStyle name="Note 25 5" xfId="3473" xr:uid="{F7F53B48-3229-4736-A7A8-4BE3922A4768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2 3" xfId="3476" xr:uid="{AA844DA8-89A3-46E2-9AF6-BCC4D03723DC}"/>
    <cellStyle name="Note 26 3" xfId="2182" xr:uid="{00000000-0005-0000-0000-000087080000}"/>
    <cellStyle name="Note 26 4" xfId="3347" xr:uid="{DB263EC8-1956-4636-BD12-6853D99336AA}"/>
    <cellStyle name="Note 26 5" xfId="3475" xr:uid="{7FED5815-AD6A-4DA9-AFEE-72070FEC5C73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2 3" xfId="3478" xr:uid="{93274F1B-BAC6-4C16-8011-9ACD853BFECB}"/>
    <cellStyle name="Note 27 3" xfId="2187" xr:uid="{00000000-0005-0000-0000-00008C080000}"/>
    <cellStyle name="Note 27 4" xfId="3348" xr:uid="{58E1D00F-C89C-4F8A-BD4D-DA8C66A5EB58}"/>
    <cellStyle name="Note 27 5" xfId="3477" xr:uid="{A992A9B2-EA4B-4124-847C-0A28C25E16AA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2 3" xfId="3480" xr:uid="{BD6F5A0A-9756-4F42-AFA5-804EFB3C88CF}"/>
    <cellStyle name="Note 28 3" xfId="2192" xr:uid="{00000000-0005-0000-0000-000091080000}"/>
    <cellStyle name="Note 28 4" xfId="3349" xr:uid="{08DF7F50-E82D-46B2-A373-C3A5C51A76E8}"/>
    <cellStyle name="Note 28 5" xfId="3479" xr:uid="{4E99F82D-D7E8-4A9A-B8C7-C6F0910310C1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2 3" xfId="3482" xr:uid="{4401C676-D825-4F1C-BFC4-AE16D8CBD230}"/>
    <cellStyle name="Note 29 3" xfId="2197" xr:uid="{00000000-0005-0000-0000-000096080000}"/>
    <cellStyle name="Note 29 4" xfId="3350" xr:uid="{E965EDA6-4557-4E44-BC6A-70F50FD82E4B}"/>
    <cellStyle name="Note 29 5" xfId="3481" xr:uid="{D2B15F1B-E718-43D4-915D-DE4D0D83FBE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3" xfId="3484" xr:uid="{1042DA72-D1F9-4DD7-A9AA-04F361D17570}"/>
    <cellStyle name="Note 3 3" xfId="2202" xr:uid="{00000000-0005-0000-0000-00009B080000}"/>
    <cellStyle name="Note 3 4" xfId="3483" xr:uid="{B72E95E5-227A-4EF7-8585-526D2EF80129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2 3" xfId="3486" xr:uid="{DA9769E9-8DB1-475F-AA50-6F147D5F92A8}"/>
    <cellStyle name="Note 30 3" xfId="2207" xr:uid="{00000000-0005-0000-0000-0000A0080000}"/>
    <cellStyle name="Note 30 4" xfId="3351" xr:uid="{88E02CC2-484F-462B-A0E5-EC5979AFB826}"/>
    <cellStyle name="Note 30 5" xfId="3485" xr:uid="{D46FB51D-23AF-40FB-817B-9100D24F584E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2 3" xfId="3488" xr:uid="{16415F22-E92A-4804-8383-62B7743243D4}"/>
    <cellStyle name="Note 31 3" xfId="2212" xr:uid="{00000000-0005-0000-0000-0000A5080000}"/>
    <cellStyle name="Note 31 4" xfId="3352" xr:uid="{E07057D7-BF66-4D1C-B9F6-6F960E9540E1}"/>
    <cellStyle name="Note 31 5" xfId="3487" xr:uid="{C9C137ED-16C5-4CA2-BF13-205B58750FB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2 3" xfId="3490" xr:uid="{1F99D0E1-3B81-4B3D-986E-098C8D70E820}"/>
    <cellStyle name="Note 32 3" xfId="2217" xr:uid="{00000000-0005-0000-0000-0000AA080000}"/>
    <cellStyle name="Note 32 4" xfId="3353" xr:uid="{D1FC6241-1A1C-474A-B3E6-1660F0197F32}"/>
    <cellStyle name="Note 32 5" xfId="3489" xr:uid="{948C669A-F647-4C87-871B-5797C8025493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2 3" xfId="3492" xr:uid="{A0804FC6-A5AB-4137-832E-2470AC25FB32}"/>
    <cellStyle name="Note 33 3" xfId="2222" xr:uid="{00000000-0005-0000-0000-0000AF080000}"/>
    <cellStyle name="Note 33 4" xfId="3354" xr:uid="{EA403C0A-B2B3-4525-BC84-01C637B8A7A5}"/>
    <cellStyle name="Note 33 5" xfId="3491" xr:uid="{CEA00B7A-DA1F-44A1-979A-A48248A65C9A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2 3" xfId="3494" xr:uid="{B218E695-1F96-4EEC-B4FC-663330B2B423}"/>
    <cellStyle name="Note 34 3" xfId="2227" xr:uid="{00000000-0005-0000-0000-0000B4080000}"/>
    <cellStyle name="Note 34 4" xfId="3355" xr:uid="{7BD439E8-8DD1-4568-AC72-2199ACAADE02}"/>
    <cellStyle name="Note 34 5" xfId="3493" xr:uid="{D1A8300E-390B-4A6F-B968-AAF0B44BDF0F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2 3" xfId="3496" xr:uid="{C7062034-6397-47E0-8BE6-2793341F53B6}"/>
    <cellStyle name="Note 35 3" xfId="2232" xr:uid="{00000000-0005-0000-0000-0000B9080000}"/>
    <cellStyle name="Note 35 4" xfId="3356" xr:uid="{6ECE50AA-1D72-42FC-B022-9280A7644ADE}"/>
    <cellStyle name="Note 35 5" xfId="3495" xr:uid="{66EB72D0-106E-4128-93FB-7D281CC5F6BB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2 3" xfId="3498" xr:uid="{C89038BC-7039-463B-B56F-35CD380D824D}"/>
    <cellStyle name="Note 36 3" xfId="2237" xr:uid="{00000000-0005-0000-0000-0000BE080000}"/>
    <cellStyle name="Note 36 4" xfId="3357" xr:uid="{CDD61359-C9E8-48BB-80E8-4C528D009AF0}"/>
    <cellStyle name="Note 36 5" xfId="3497" xr:uid="{C6C46E35-7F88-4B60-83D9-F579E198D22D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2 3" xfId="3500" xr:uid="{D78EC704-3277-4AF3-89E0-A118E2C9D432}"/>
    <cellStyle name="Note 37 3" xfId="2242" xr:uid="{00000000-0005-0000-0000-0000C3080000}"/>
    <cellStyle name="Note 37 4" xfId="3358" xr:uid="{EC6916B4-36BD-406A-B83F-E7327113526A}"/>
    <cellStyle name="Note 37 5" xfId="3499" xr:uid="{64D2B9C7-C0EF-44C8-8D96-FE8B1C2D0266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2 3" xfId="3502" xr:uid="{2ABEABC7-BB6C-46DD-8479-7826A13A995F}"/>
    <cellStyle name="Note 38 3" xfId="2247" xr:uid="{00000000-0005-0000-0000-0000C8080000}"/>
    <cellStyle name="Note 38 4" xfId="3359" xr:uid="{7117874E-07CE-4DAF-A703-26A074D54239}"/>
    <cellStyle name="Note 38 5" xfId="3501" xr:uid="{C1190B8D-E865-48F2-AAA7-632855A204B4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2 3" xfId="3504" xr:uid="{768812A9-7728-4879-83DB-70F2E92E5F53}"/>
    <cellStyle name="Note 39 3" xfId="2252" xr:uid="{00000000-0005-0000-0000-0000CD080000}"/>
    <cellStyle name="Note 39 4" xfId="3360" xr:uid="{0AFD38E3-6205-480D-8114-E2EB22E20CBF}"/>
    <cellStyle name="Note 39 5" xfId="3503" xr:uid="{826EA892-3503-4C85-846F-601C49E3BFBE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3" xfId="3506" xr:uid="{C5E58FB6-4836-4A8F-A292-D64C77ED502C}"/>
    <cellStyle name="Note 4 3" xfId="2257" xr:uid="{00000000-0005-0000-0000-0000D2080000}"/>
    <cellStyle name="Note 4 4" xfId="3505" xr:uid="{8C9D2A47-A016-4108-A166-5270349A8225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2 3" xfId="3508" xr:uid="{8BBFFA74-93C0-4690-A620-DF6B05267DE9}"/>
    <cellStyle name="Note 40 3" xfId="2262" xr:uid="{00000000-0005-0000-0000-0000D7080000}"/>
    <cellStyle name="Note 40 4" xfId="3361" xr:uid="{53CEDAA6-BCA7-42CF-AE5F-83F5DB7775EC}"/>
    <cellStyle name="Note 40 5" xfId="3507" xr:uid="{57FA4954-9206-470F-BF1D-5D046A8A9111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2 3" xfId="3510" xr:uid="{B127F0C3-88E9-460D-9FC0-5622400DF625}"/>
    <cellStyle name="Note 41 3" xfId="2267" xr:uid="{00000000-0005-0000-0000-0000DC080000}"/>
    <cellStyle name="Note 41 4" xfId="3362" xr:uid="{CE8E71DD-04B3-4246-A87F-08F2715ABDC5}"/>
    <cellStyle name="Note 41 5" xfId="3509" xr:uid="{05B8EE07-C912-4149-88D2-27ED85CCB44B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2 3" xfId="3512" xr:uid="{926195A3-6249-4B0D-BDFF-B73193371AF4}"/>
    <cellStyle name="Note 42 3" xfId="2272" xr:uid="{00000000-0005-0000-0000-0000E1080000}"/>
    <cellStyle name="Note 42 4" xfId="3363" xr:uid="{671EA937-EA5D-48A6-904D-465FD05660C9}"/>
    <cellStyle name="Note 42 5" xfId="3511" xr:uid="{B1B06D00-1D4E-4E86-807F-142FB2173766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2 3" xfId="3514" xr:uid="{5449EEF7-EB40-4E1F-8FA2-233361440C4E}"/>
    <cellStyle name="Note 43 3" xfId="2277" xr:uid="{00000000-0005-0000-0000-0000E6080000}"/>
    <cellStyle name="Note 43 4" xfId="3364" xr:uid="{F0D9F43D-1948-417F-98A1-BEA375F6398E}"/>
    <cellStyle name="Note 43 5" xfId="3513" xr:uid="{A08B2FB4-F2EA-4199-9B39-CE11F6911447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2 3" xfId="3516" xr:uid="{C68F04D9-33AF-4D98-BEF5-7A1FC0451143}"/>
    <cellStyle name="Note 44 3" xfId="2282" xr:uid="{00000000-0005-0000-0000-0000EB080000}"/>
    <cellStyle name="Note 44 4" xfId="3365" xr:uid="{6CE9BB38-AAB0-4B83-940F-BCE7F844AB28}"/>
    <cellStyle name="Note 44 5" xfId="3515" xr:uid="{F0D1176D-4A98-41AB-8711-6321D6015D3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2 3" xfId="3518" xr:uid="{8C5F356F-D86D-4ED0-B0C3-C90B20061ECD}"/>
    <cellStyle name="Note 45 3" xfId="2287" xr:uid="{00000000-0005-0000-0000-0000F0080000}"/>
    <cellStyle name="Note 45 4" xfId="3366" xr:uid="{57061593-651E-4FB8-9072-F73EF019DC24}"/>
    <cellStyle name="Note 45 5" xfId="3517" xr:uid="{1CC65328-2102-4398-8E07-7C615E9AD726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2 3" xfId="3520" xr:uid="{2487AEDC-CF8A-4ED0-B393-EAADE7C74AC4}"/>
    <cellStyle name="Note 46 3" xfId="2292" xr:uid="{00000000-0005-0000-0000-0000F5080000}"/>
    <cellStyle name="Note 46 4" xfId="3367" xr:uid="{8B8CDBF1-A9B9-4FF1-8209-BB6153B5D01B}"/>
    <cellStyle name="Note 46 5" xfId="3519" xr:uid="{B7371729-F9F4-4796-84A0-04577F3A3275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2 3" xfId="3522" xr:uid="{740C26B3-5EFC-4BE6-81AB-E388226E2D1B}"/>
    <cellStyle name="Note 47 3" xfId="2297" xr:uid="{00000000-0005-0000-0000-0000FA080000}"/>
    <cellStyle name="Note 47 4" xfId="3368" xr:uid="{9F96FF28-64A3-4FDA-BA57-EA9746141322}"/>
    <cellStyle name="Note 47 5" xfId="3521" xr:uid="{94B2577D-01A0-44D2-8669-5BC0BDCB36B3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2 3" xfId="3524" xr:uid="{BCAB8D5F-B747-4FA8-AD89-2ACC2E546421}"/>
    <cellStyle name="Note 48 3" xfId="2302" xr:uid="{00000000-0005-0000-0000-0000FF080000}"/>
    <cellStyle name="Note 48 4" xfId="3369" xr:uid="{EF14E748-B4F0-4A07-A448-BE41A9A91034}"/>
    <cellStyle name="Note 48 5" xfId="3523" xr:uid="{EBC68608-E623-43F1-9AE2-951BE15C04A6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2 3" xfId="3526" xr:uid="{0318B905-27E8-4931-952F-852DFF5AD1F0}"/>
    <cellStyle name="Note 49 3" xfId="2307" xr:uid="{00000000-0005-0000-0000-000004090000}"/>
    <cellStyle name="Note 49 4" xfId="3370" xr:uid="{A47DCD9F-4925-48B8-A202-5E22947D9FEA}"/>
    <cellStyle name="Note 49 5" xfId="3525" xr:uid="{9A9382E4-70D9-481B-9E3F-52D0DFA70338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3" xfId="3528" xr:uid="{7036CDC0-2270-48B3-B234-E523440A0B4D}"/>
    <cellStyle name="Note 5 3" xfId="2312" xr:uid="{00000000-0005-0000-0000-000009090000}"/>
    <cellStyle name="Note 5 4" xfId="3527" xr:uid="{A8E587E1-A3FD-4BD6-84C5-969C0FBD0961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2 3" xfId="3530" xr:uid="{8A2A9F4C-21D4-4467-9B5C-979AEDE0BF92}"/>
    <cellStyle name="Note 50 3" xfId="2317" xr:uid="{00000000-0005-0000-0000-00000E090000}"/>
    <cellStyle name="Note 50 4" xfId="3371" xr:uid="{C11CE787-03CF-43D2-9D66-6A818B1E41D2}"/>
    <cellStyle name="Note 50 5" xfId="3529" xr:uid="{E074A42D-E61E-4CDB-A1DF-E862761CC97B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2 3" xfId="3532" xr:uid="{F5F01D05-6E7C-4A48-B262-51B8DE2ACF1E}"/>
    <cellStyle name="Note 51 3" xfId="2322" xr:uid="{00000000-0005-0000-0000-000013090000}"/>
    <cellStyle name="Note 51 4" xfId="3372" xr:uid="{F9F9EE8C-92CD-4A62-9A42-DB76ED7012BE}"/>
    <cellStyle name="Note 51 5" xfId="3531" xr:uid="{BAB53524-E7ED-462D-981D-2714CF5840AE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2 3" xfId="3534" xr:uid="{E6603485-7F77-483A-9A91-E5C75B93F8FA}"/>
    <cellStyle name="Note 52 3" xfId="2327" xr:uid="{00000000-0005-0000-0000-000018090000}"/>
    <cellStyle name="Note 52 4" xfId="3373" xr:uid="{3CA80C4A-0D5E-4E51-95F9-1D535B39C3CD}"/>
    <cellStyle name="Note 52 5" xfId="3533" xr:uid="{ACB6F6A6-B923-4A87-857C-3D41C03F5C6D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2 3" xfId="3536" xr:uid="{2C1CF1D4-474C-48DD-AD3A-9139D81C200A}"/>
    <cellStyle name="Note 53 3" xfId="2332" xr:uid="{00000000-0005-0000-0000-00001D090000}"/>
    <cellStyle name="Note 53 4" xfId="3374" xr:uid="{FEA694CE-7153-4303-8CC7-22C9128A07F4}"/>
    <cellStyle name="Note 53 5" xfId="3535" xr:uid="{FE09EC98-3D1D-45CC-803C-DC44DAA3AF5E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2 3" xfId="3538" xr:uid="{EE17C8E6-4513-4B21-BF94-B75F0E801113}"/>
    <cellStyle name="Note 54 3" xfId="2337" xr:uid="{00000000-0005-0000-0000-000022090000}"/>
    <cellStyle name="Note 54 4" xfId="3375" xr:uid="{33EC901A-4A02-499A-B840-04454D7CC639}"/>
    <cellStyle name="Note 54 5" xfId="3537" xr:uid="{E546A421-2A4D-49DA-95BB-160013C7C897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2 3" xfId="3540" xr:uid="{C3B5BCE4-9F78-4CE7-B1F3-E8E0831E1B8E}"/>
    <cellStyle name="Note 55 3" xfId="2342" xr:uid="{00000000-0005-0000-0000-000027090000}"/>
    <cellStyle name="Note 55 4" xfId="3376" xr:uid="{DF3B77C6-BB68-4DDD-B737-5AC3DBE42AF3}"/>
    <cellStyle name="Note 55 5" xfId="3539" xr:uid="{6C69A6E5-AD4B-465E-B6B1-704DB687A595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2 3" xfId="3542" xr:uid="{BD591C9F-CE1F-497A-9D60-9B958BE8ED95}"/>
    <cellStyle name="Note 56 3" xfId="2347" xr:uid="{00000000-0005-0000-0000-00002C090000}"/>
    <cellStyle name="Note 56 4" xfId="3377" xr:uid="{BE8BD54F-C320-485D-9DD2-2094771080EB}"/>
    <cellStyle name="Note 56 5" xfId="3541" xr:uid="{CE79013A-9807-42D5-95BA-8ECA57B4C567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2 3" xfId="3544" xr:uid="{1BB2DCEF-3170-4808-B708-60DA27B559CB}"/>
    <cellStyle name="Note 57 3" xfId="2352" xr:uid="{00000000-0005-0000-0000-000031090000}"/>
    <cellStyle name="Note 57 4" xfId="3378" xr:uid="{0C131FD5-4FE9-4E78-B5A6-800A65DD77C1}"/>
    <cellStyle name="Note 57 5" xfId="3543" xr:uid="{38F01755-0EE4-40A9-8108-4BDAFF629827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2 3" xfId="3546" xr:uid="{4E4143CC-1597-4287-B587-1A121AA87CD8}"/>
    <cellStyle name="Note 58 3" xfId="2357" xr:uid="{00000000-0005-0000-0000-000036090000}"/>
    <cellStyle name="Note 58 4" xfId="3379" xr:uid="{987E0882-8F59-499D-9804-4D2D7E69B525}"/>
    <cellStyle name="Note 58 5" xfId="3545" xr:uid="{4A5DB954-660F-4BAC-9A82-CE7C6FD1BCBB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2 3" xfId="3548" xr:uid="{61F53B9E-02A9-4023-8C42-8EED18130576}"/>
    <cellStyle name="Note 59 3" xfId="2362" xr:uid="{00000000-0005-0000-0000-00003B090000}"/>
    <cellStyle name="Note 59 4" xfId="3380" xr:uid="{C9C2DD32-01AB-468A-80A7-9F5D0BE68D9C}"/>
    <cellStyle name="Note 59 5" xfId="3547" xr:uid="{7BC21E08-4F58-4B5C-9F3B-336BBD04515B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3" xfId="3550" xr:uid="{EC49408C-B537-4E14-A79A-5ED442B2ABB3}"/>
    <cellStyle name="Note 6 3" xfId="2367" xr:uid="{00000000-0005-0000-0000-000040090000}"/>
    <cellStyle name="Note 6 4" xfId="3549" xr:uid="{9E57CE7A-69B6-4D21-96E7-97775A3710D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2 3" xfId="3552" xr:uid="{38E28D83-9337-4713-8EBD-DC8F5616C22C}"/>
    <cellStyle name="Note 60 3" xfId="2372" xr:uid="{00000000-0005-0000-0000-000045090000}"/>
    <cellStyle name="Note 60 4" xfId="3381" xr:uid="{4CEE19C1-2EBB-4E5D-8392-F57C93C6ADD9}"/>
    <cellStyle name="Note 60 5" xfId="3551" xr:uid="{99ACF48A-3DA2-4CE0-B0BD-DBDFD07E36A4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2 3" xfId="3554" xr:uid="{23AD3872-9E44-4A4D-B81E-D45172781475}"/>
    <cellStyle name="Note 61 3" xfId="2377" xr:uid="{00000000-0005-0000-0000-00004A090000}"/>
    <cellStyle name="Note 61 4" xfId="3382" xr:uid="{BAE77FAE-8983-46EB-ADAD-4FDA7D5DC2AC}"/>
    <cellStyle name="Note 61 5" xfId="3553" xr:uid="{92E87BC2-7168-4328-8413-FB43B4773132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2 3" xfId="3556" xr:uid="{BB4A2253-3BA2-4124-A445-B48CDF5068EA}"/>
    <cellStyle name="Note 62 3" xfId="2382" xr:uid="{00000000-0005-0000-0000-00004F090000}"/>
    <cellStyle name="Note 62 4" xfId="3383" xr:uid="{DBB52AD7-F12A-4F0B-8EFD-874E7685BBF5}"/>
    <cellStyle name="Note 62 5" xfId="3555" xr:uid="{4C6B68B0-1B44-428D-BE5A-C35275AEA707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2 3" xfId="3558" xr:uid="{FF761CB7-4E78-4DD6-B89E-B41CD645DD8D}"/>
    <cellStyle name="Note 63 3" xfId="2387" xr:uid="{00000000-0005-0000-0000-000054090000}"/>
    <cellStyle name="Note 63 4" xfId="3384" xr:uid="{D337EBE7-A565-4843-8344-F2AF69C1B8F5}"/>
    <cellStyle name="Note 63 5" xfId="3557" xr:uid="{64147958-9F33-4AEE-AE1F-2002CE0DCE8D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2 3" xfId="3560" xr:uid="{71376C38-2959-4311-86C2-399679B942CB}"/>
    <cellStyle name="Note 64 3" xfId="2392" xr:uid="{00000000-0005-0000-0000-000059090000}"/>
    <cellStyle name="Note 64 4" xfId="3385" xr:uid="{B04F94C3-EAE5-4FEF-B276-B795B1BF9E35}"/>
    <cellStyle name="Note 64 5" xfId="3559" xr:uid="{D6099A85-9ACD-4B0D-B119-C92FDCDCA2F3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2 3" xfId="3562" xr:uid="{AAA7332C-2FE4-4C31-B1E0-48F2506B6732}"/>
    <cellStyle name="Note 65 3" xfId="2397" xr:uid="{00000000-0005-0000-0000-00005E090000}"/>
    <cellStyle name="Note 65 4" xfId="3386" xr:uid="{4F886094-5210-4795-9D18-E19487662B91}"/>
    <cellStyle name="Note 65 5" xfId="3561" xr:uid="{01B1A1C6-8EF9-45D3-B7D4-FC08058DF59A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2 3" xfId="3564" xr:uid="{582AA20E-4EB9-4E85-A976-213358C559BE}"/>
    <cellStyle name="Note 66 3" xfId="2402" xr:uid="{00000000-0005-0000-0000-000063090000}"/>
    <cellStyle name="Note 66 4" xfId="3387" xr:uid="{8F0F4E5D-9B8D-4F4A-B5E8-C85643C56B53}"/>
    <cellStyle name="Note 66 5" xfId="3563" xr:uid="{239A7F01-2FE1-45C3-9576-0B6E7AF3846E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2 3" xfId="3566" xr:uid="{20F12579-ADF0-40E9-BEA6-D6AED3D38B41}"/>
    <cellStyle name="Note 67 3" xfId="2407" xr:uid="{00000000-0005-0000-0000-000068090000}"/>
    <cellStyle name="Note 67 4" xfId="3388" xr:uid="{2F29EA32-3D53-4495-B209-9417592FB996}"/>
    <cellStyle name="Note 67 5" xfId="3565" xr:uid="{B878A7B8-4955-4290-A8E7-B0226F0F70EB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2 3" xfId="3568" xr:uid="{B1FB0AD0-773C-4631-9512-19A95BA92794}"/>
    <cellStyle name="Note 68 3" xfId="2412" xr:uid="{00000000-0005-0000-0000-00006D090000}"/>
    <cellStyle name="Note 68 4" xfId="3389" xr:uid="{7B9655CB-F815-40E4-B70C-12D287052E3A}"/>
    <cellStyle name="Note 68 5" xfId="3567" xr:uid="{9F4081DB-D80A-42B8-B42F-7BB3312D9D09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2 3" xfId="3570" xr:uid="{D5848261-3096-4E77-8ABA-B3D435FD8994}"/>
    <cellStyle name="Note 69 3" xfId="2417" xr:uid="{00000000-0005-0000-0000-000072090000}"/>
    <cellStyle name="Note 69 4" xfId="3390" xr:uid="{48E0ACC9-C590-4A17-9A04-F5E59BBF94CE}"/>
    <cellStyle name="Note 69 5" xfId="3569" xr:uid="{7301F36D-410B-448C-A995-D0EA39176092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3" xfId="3572" xr:uid="{074D2A40-7606-48AE-80E6-5CCB245AA3B7}"/>
    <cellStyle name="Note 7 3" xfId="2422" xr:uid="{00000000-0005-0000-0000-000077090000}"/>
    <cellStyle name="Note 7 4" xfId="3571" xr:uid="{2457DF96-2B5F-4C70-B530-88264CDA6FF3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2 3" xfId="3574" xr:uid="{32349004-9626-438D-AA57-2289DD7C2D08}"/>
    <cellStyle name="Note 70 3" xfId="2427" xr:uid="{00000000-0005-0000-0000-00007C090000}"/>
    <cellStyle name="Note 70 4" xfId="3391" xr:uid="{9B1FB5BE-65E6-4B28-BC68-746E8D8789BF}"/>
    <cellStyle name="Note 70 5" xfId="3573" xr:uid="{DC9BD0A8-1B75-4A2B-A06F-162EF4BAFFE4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2 3" xfId="3576" xr:uid="{6DDD8167-5366-4C15-A252-EDB4B0BFC5C0}"/>
    <cellStyle name="Note 71 3" xfId="2432" xr:uid="{00000000-0005-0000-0000-000081090000}"/>
    <cellStyle name="Note 71 4" xfId="3392" xr:uid="{6BB05B82-C720-49C3-982F-A9072DB48CF3}"/>
    <cellStyle name="Note 71 5" xfId="3575" xr:uid="{454EDF4C-096D-4E4E-B475-545E7EB5FE8D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2 3" xfId="3578" xr:uid="{756463E5-729C-4F6D-819E-9B90C105527C}"/>
    <cellStyle name="Note 72 3" xfId="2437" xr:uid="{00000000-0005-0000-0000-000086090000}"/>
    <cellStyle name="Note 72 4" xfId="3393" xr:uid="{639EE20C-FD00-48E4-AAB1-D0F17E0CAC8F}"/>
    <cellStyle name="Note 72 5" xfId="3577" xr:uid="{FD4640F3-2425-4570-80E8-D6B716AA4AF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2 3" xfId="3580" xr:uid="{7AF2E439-EF4C-4C97-952B-24624AB41A00}"/>
    <cellStyle name="Note 73 3" xfId="2442" xr:uid="{00000000-0005-0000-0000-00008B090000}"/>
    <cellStyle name="Note 73 4" xfId="3394" xr:uid="{7AD1BB8A-4663-4734-977D-159FA3956BFF}"/>
    <cellStyle name="Note 73 5" xfId="3579" xr:uid="{DB91958C-8AE1-4371-9421-3BCACB81C2B6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2 3" xfId="3582" xr:uid="{74ED81B4-835B-440E-BB5A-B93307E8409E}"/>
    <cellStyle name="Note 74 3" xfId="2447" xr:uid="{00000000-0005-0000-0000-000090090000}"/>
    <cellStyle name="Note 74 4" xfId="3395" xr:uid="{D86C25A3-B550-42EF-A29F-A768A56431BF}"/>
    <cellStyle name="Note 74 5" xfId="3581" xr:uid="{3736E16D-8444-4442-92A6-BAB04DDAFEF2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2 3" xfId="3584" xr:uid="{50485CD9-CAB6-48C3-96C5-951DCE94DEFD}"/>
    <cellStyle name="Note 75 3" xfId="2452" xr:uid="{00000000-0005-0000-0000-000095090000}"/>
    <cellStyle name="Note 75 4" xfId="3396" xr:uid="{5E5631FF-36FF-4F1A-92F7-5E71DB7F4496}"/>
    <cellStyle name="Note 75 5" xfId="3583" xr:uid="{3C212060-A59B-4B05-B32B-12E2FBD1D23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2 3" xfId="3586" xr:uid="{25FA3D5D-C9C0-4669-B634-A3C2E9A47FE2}"/>
    <cellStyle name="Note 76 3" xfId="2457" xr:uid="{00000000-0005-0000-0000-00009A090000}"/>
    <cellStyle name="Note 76 4" xfId="3397" xr:uid="{490EA3C1-BD87-4457-A2BE-69104A2370E1}"/>
    <cellStyle name="Note 76 5" xfId="3585" xr:uid="{BFC371E6-8026-4630-A9AE-EF649DDB0947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2 3" xfId="3588" xr:uid="{338AD1C8-57E5-40CA-B58A-C95E0CA38E4C}"/>
    <cellStyle name="Note 77 3" xfId="2462" xr:uid="{00000000-0005-0000-0000-00009F090000}"/>
    <cellStyle name="Note 77 4" xfId="3398" xr:uid="{71520253-8D3B-4B18-A61F-01D5B5028D0B}"/>
    <cellStyle name="Note 77 5" xfId="3587" xr:uid="{4D529C39-3123-4645-BBA5-92E69947819F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2 3" xfId="3590" xr:uid="{A6235104-45F3-4957-81F3-AF848BF55276}"/>
    <cellStyle name="Note 78 3" xfId="2467" xr:uid="{00000000-0005-0000-0000-0000A4090000}"/>
    <cellStyle name="Note 78 4" xfId="3399" xr:uid="{3C45D3EF-28BC-4DF9-9F01-3C44C735A51D}"/>
    <cellStyle name="Note 78 5" xfId="3589" xr:uid="{2912ED4E-F7E9-476C-80E8-F58A3DC6654C}"/>
    <cellStyle name="Note 78_TRAFO" xfId="2468" xr:uid="{00000000-0005-0000-0000-0000A5090000}"/>
    <cellStyle name="Note 79" xfId="3435" xr:uid="{A060276C-C821-4828-AE54-D63D48D14DA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3" xfId="3592" xr:uid="{0BDA4E0C-5CE5-4C64-B259-90106672C3D5}"/>
    <cellStyle name="Note 8 3" xfId="2472" xr:uid="{00000000-0005-0000-0000-0000A9090000}"/>
    <cellStyle name="Note 8 4" xfId="3591" xr:uid="{5CA395E7-50EF-4EA0-A94F-3CEB83756322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3" xfId="3594" xr:uid="{4F9270AB-BCF7-4C24-9D9C-DD158F55CD22}"/>
    <cellStyle name="Note 9 3" xfId="2477" xr:uid="{00000000-0005-0000-0000-0000AE090000}"/>
    <cellStyle name="Note 9 4" xfId="3593" xr:uid="{E38BC7BC-A97A-4670-B6EF-2AD213873001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3" xfId="3595" xr:uid="{5E66208C-E325-4766-ADE6-F0EF091480A5}"/>
    <cellStyle name="Output 11" xfId="2482" xr:uid="{00000000-0005-0000-0000-0000B3090000}"/>
    <cellStyle name="Output 11 2" xfId="2483" xr:uid="{00000000-0005-0000-0000-0000B4090000}"/>
    <cellStyle name="Output 11 3" xfId="3596" xr:uid="{2E9B5372-E001-4C41-AEFE-62DBD80C4ABE}"/>
    <cellStyle name="Output 12" xfId="2484" xr:uid="{00000000-0005-0000-0000-0000B5090000}"/>
    <cellStyle name="Output 12 2" xfId="2485" xr:uid="{00000000-0005-0000-0000-0000B6090000}"/>
    <cellStyle name="Output 12 3" xfId="3597" xr:uid="{2B014263-673E-4EEC-9297-CB133850D2D4}"/>
    <cellStyle name="Output 13" xfId="2486" xr:uid="{00000000-0005-0000-0000-0000B7090000}"/>
    <cellStyle name="Output 13 2" xfId="2487" xr:uid="{00000000-0005-0000-0000-0000B8090000}"/>
    <cellStyle name="Output 13 3" xfId="3598" xr:uid="{B3091B3A-0F40-45E0-8BB4-BDFD4126ED9F}"/>
    <cellStyle name="Output 14" xfId="2488" xr:uid="{00000000-0005-0000-0000-0000B9090000}"/>
    <cellStyle name="Output 14 2" xfId="2489" xr:uid="{00000000-0005-0000-0000-0000BA090000}"/>
    <cellStyle name="Output 14 3" xfId="3599" xr:uid="{576EDBE6-3AA7-4E30-B843-F1700296949B}"/>
    <cellStyle name="Output 15" xfId="2490" xr:uid="{00000000-0005-0000-0000-0000BB090000}"/>
    <cellStyle name="Output 15 2" xfId="2491" xr:uid="{00000000-0005-0000-0000-0000BC090000}"/>
    <cellStyle name="Output 15 3" xfId="3600" xr:uid="{AAFED520-6E96-4B07-8397-9847D2B4EDCB}"/>
    <cellStyle name="Output 16" xfId="2492" xr:uid="{00000000-0005-0000-0000-0000BD090000}"/>
    <cellStyle name="Output 16 2" xfId="2493" xr:uid="{00000000-0005-0000-0000-0000BE090000}"/>
    <cellStyle name="Output 16 3" xfId="3601" xr:uid="{D06741D8-BED7-481D-87F5-3A2B56B53684}"/>
    <cellStyle name="Output 17" xfId="3434" xr:uid="{7D50E6CF-E97D-406E-940C-937A00FA3169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2 3" xfId="3603" xr:uid="{951CE890-8DAB-46C9-9BB8-2C740E830BE1}"/>
    <cellStyle name="Output 2 3" xfId="2497" xr:uid="{00000000-0005-0000-0000-0000C2090000}"/>
    <cellStyle name="Output 2 3 2" xfId="2498" xr:uid="{00000000-0005-0000-0000-0000C3090000}"/>
    <cellStyle name="Output 2 3 3" xfId="3604" xr:uid="{773857AE-099A-4ECB-9BA2-2BC381FEFA59}"/>
    <cellStyle name="Output 2 4" xfId="2499" xr:uid="{00000000-0005-0000-0000-0000C4090000}"/>
    <cellStyle name="Output 2 5" xfId="3602" xr:uid="{3FD1C658-DFFA-4F69-9221-353133BF69C6}"/>
    <cellStyle name="Output 3" xfId="2500" xr:uid="{00000000-0005-0000-0000-0000C5090000}"/>
    <cellStyle name="Output 3 2" xfId="2501" xr:uid="{00000000-0005-0000-0000-0000C6090000}"/>
    <cellStyle name="Output 3 3" xfId="3605" xr:uid="{1780F109-62B2-4479-907F-5188097BBF36}"/>
    <cellStyle name="Output 4" xfId="2502" xr:uid="{00000000-0005-0000-0000-0000C7090000}"/>
    <cellStyle name="Output 4 2" xfId="2503" xr:uid="{00000000-0005-0000-0000-0000C8090000}"/>
    <cellStyle name="Output 4 3" xfId="3606" xr:uid="{F5B9894D-D428-480C-8326-AEA92A54BD98}"/>
    <cellStyle name="Output 5" xfId="2504" xr:uid="{00000000-0005-0000-0000-0000C9090000}"/>
    <cellStyle name="Output 5 2" xfId="2505" xr:uid="{00000000-0005-0000-0000-0000CA090000}"/>
    <cellStyle name="Output 5 3" xfId="3607" xr:uid="{82A837AA-D30B-44BC-927B-BCB78C4C667C}"/>
    <cellStyle name="Output 6" xfId="2506" xr:uid="{00000000-0005-0000-0000-0000CB090000}"/>
    <cellStyle name="Output 6 2" xfId="2507" xr:uid="{00000000-0005-0000-0000-0000CC090000}"/>
    <cellStyle name="Output 6 3" xfId="3608" xr:uid="{106723B2-AE94-4EC8-9FED-8C4F4FD6F317}"/>
    <cellStyle name="Output 7" xfId="2508" xr:uid="{00000000-0005-0000-0000-0000CD090000}"/>
    <cellStyle name="Output 7 2" xfId="2509" xr:uid="{00000000-0005-0000-0000-0000CE090000}"/>
    <cellStyle name="Output 7 3" xfId="3609" xr:uid="{9C61EF40-DEF2-4FEC-BD15-527C58676E00}"/>
    <cellStyle name="Output 8" xfId="2510" xr:uid="{00000000-0005-0000-0000-0000CF090000}"/>
    <cellStyle name="Output 8 2" xfId="2511" xr:uid="{00000000-0005-0000-0000-0000D0090000}"/>
    <cellStyle name="Output 8 3" xfId="3610" xr:uid="{C1037768-B068-4268-9C2C-78F358FB77CF}"/>
    <cellStyle name="Output 9" xfId="2512" xr:uid="{00000000-0005-0000-0000-0000D1090000}"/>
    <cellStyle name="Output 9 2" xfId="2513" xr:uid="{00000000-0005-0000-0000-0000D2090000}"/>
    <cellStyle name="Output 9 3" xfId="3611" xr:uid="{7AC248AC-7560-444B-BE4C-D8383D6FECDA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403" xr:uid="{660FB9F7-39AE-4CF7-892D-5D38AE8FB0DA}"/>
    <cellStyle name="Percent 2 2 2 2 2 3" xfId="2528" xr:uid="{00000000-0005-0000-0000-0000E2090000}"/>
    <cellStyle name="Percent 2 2 2 2 2 3 2" xfId="3404" xr:uid="{0FA5F725-A4F8-42E5-A99C-4E17EDC23DC8}"/>
    <cellStyle name="Percent 2 2 2 2 2 4" xfId="2529" xr:uid="{00000000-0005-0000-0000-0000E3090000}"/>
    <cellStyle name="Percent 2 2 2 2 2 4 2" xfId="3405" xr:uid="{49A0C924-D889-4353-A9F6-E9AA932553F3}"/>
    <cellStyle name="Percent 2 2 2 2 2 5" xfId="2530" xr:uid="{00000000-0005-0000-0000-0000E4090000}"/>
    <cellStyle name="Percent 2 2 2 2 2 5 2" xfId="3406" xr:uid="{1607F40B-656C-45AD-9E0A-DC845F0E608B}"/>
    <cellStyle name="Percent 2 2 2 2 2 6" xfId="3402" xr:uid="{47817F70-5BAD-461C-8255-A7BA7AD486B5}"/>
    <cellStyle name="Percent 2 2 2 2 3" xfId="2531" xr:uid="{00000000-0005-0000-0000-0000E5090000}"/>
    <cellStyle name="Percent 2 2 2 2 3 2" xfId="3407" xr:uid="{1575482C-A175-4316-AACE-F5FD5A1C8924}"/>
    <cellStyle name="Percent 2 2 2 2 4" xfId="2532" xr:uid="{00000000-0005-0000-0000-0000E6090000}"/>
    <cellStyle name="Percent 2 2 2 2 4 2" xfId="3408" xr:uid="{27A03815-585B-4693-9B4D-58A80881A384}"/>
    <cellStyle name="Percent 2 2 2 2 5" xfId="2533" xr:uid="{00000000-0005-0000-0000-0000E7090000}"/>
    <cellStyle name="Percent 2 2 2 2 5 2" xfId="3409" xr:uid="{0ECF4FCD-64B1-4FE0-A2A4-835B9DF9D466}"/>
    <cellStyle name="Percent 2 2 2 2 6" xfId="3401" xr:uid="{2CF1DFD9-59DB-402F-9E1E-3BBA13710E52}"/>
    <cellStyle name="Percent 2 2 2 3" xfId="2534" xr:uid="{00000000-0005-0000-0000-0000E8090000}"/>
    <cellStyle name="Percent 2 2 2 3 2" xfId="3410" xr:uid="{61974C33-7B36-4F13-9CFE-9037BE58FBD8}"/>
    <cellStyle name="Percent 2 2 2 4" xfId="2535" xr:uid="{00000000-0005-0000-0000-0000E9090000}"/>
    <cellStyle name="Percent 2 2 2 4 2" xfId="3411" xr:uid="{6A913AA2-2099-4DE2-AD95-9225171AF932}"/>
    <cellStyle name="Percent 2 2 2 5" xfId="2536" xr:uid="{00000000-0005-0000-0000-0000EA090000}"/>
    <cellStyle name="Percent 2 2 2 5 2" xfId="3412" xr:uid="{3806FE90-A00B-4C2F-803D-53234E86DB35}"/>
    <cellStyle name="Percent 2 2 2 6" xfId="2537" xr:uid="{00000000-0005-0000-0000-0000EB090000}"/>
    <cellStyle name="Percent 2 2 2 6 2" xfId="3413" xr:uid="{A50C4B3A-E73A-4F6F-A564-C6E55BDFB797}"/>
    <cellStyle name="Percent 2 2 2 7" xfId="2538" xr:uid="{00000000-0005-0000-0000-0000EC090000}"/>
    <cellStyle name="Percent 2 2 2 7 2" xfId="3414" xr:uid="{533F6419-6239-472B-A02F-9F3F3CFAD57B}"/>
    <cellStyle name="Percent 2 2 2 8" xfId="3400" xr:uid="{53F5BB26-DB8B-41E9-B429-A2F76FA6C09C}"/>
    <cellStyle name="Percent 2 2 3" xfId="2539" xr:uid="{00000000-0005-0000-0000-0000ED090000}"/>
    <cellStyle name="Percent 2 2 3 2" xfId="3415" xr:uid="{3CDCAF9D-7604-44CF-BD83-18ADC1D7CB7B}"/>
    <cellStyle name="Percent 2 2 4" xfId="2540" xr:uid="{00000000-0005-0000-0000-0000EE090000}"/>
    <cellStyle name="Percent 2 2 4 2" xfId="3416" xr:uid="{4A6DC682-F92A-46E6-A422-20DA1B26F014}"/>
    <cellStyle name="Percent 2 2 5" xfId="2541" xr:uid="{00000000-0005-0000-0000-0000EF090000}"/>
    <cellStyle name="Percent 2 2 5 2" xfId="3417" xr:uid="{E7DFF968-2DBC-4C6D-B95B-F1227116EC41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418" xr:uid="{6D3C63E5-303E-4455-A16E-94AD6FF1167B}"/>
    <cellStyle name="Percent 2 4" xfId="2546" xr:uid="{00000000-0005-0000-0000-0000F4090000}"/>
    <cellStyle name="Percent 2 4 2" xfId="3419" xr:uid="{C4BA838E-B6F4-4258-94DC-817C18998CF1}"/>
    <cellStyle name="Percent 2 5" xfId="2547" xr:uid="{00000000-0005-0000-0000-0000F5090000}"/>
    <cellStyle name="Percent 2 5 2" xfId="3420" xr:uid="{CB177343-10D4-4904-B937-054F4DF84ABE}"/>
    <cellStyle name="Percent 2 6" xfId="2548" xr:uid="{00000000-0005-0000-0000-0000F6090000}"/>
    <cellStyle name="Percent 2 6 2" xfId="3421" xr:uid="{C24EDDD7-1B28-4ED6-971B-359CDDB6CA12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424" xr:uid="{8F19CCE2-D7EA-4FCA-AFE9-69D558A4679A}"/>
    <cellStyle name="Percent 5 2 3" xfId="2558" xr:uid="{00000000-0005-0000-0000-0000000A0000}"/>
    <cellStyle name="Percent 5 2 3 2" xfId="3425" xr:uid="{06E2C712-BAAA-4F7A-A63B-5A19C9246433}"/>
    <cellStyle name="Percent 5 2 4" xfId="2559" xr:uid="{00000000-0005-0000-0000-0000010A0000}"/>
    <cellStyle name="Percent 5 2 4 2" xfId="3426" xr:uid="{D93CB3E4-29BF-482A-B50E-7034456AD357}"/>
    <cellStyle name="Percent 5 2 5" xfId="2560" xr:uid="{00000000-0005-0000-0000-0000020A0000}"/>
    <cellStyle name="Percent 5 2 5 2" xfId="3427" xr:uid="{A080AB67-1B7F-4DE5-9DFE-6D200F24B0DA}"/>
    <cellStyle name="Percent 5 2 6" xfId="2561" xr:uid="{00000000-0005-0000-0000-0000030A0000}"/>
    <cellStyle name="Percent 5 2 6 2" xfId="2562" xr:uid="{00000000-0005-0000-0000-0000040A0000}"/>
    <cellStyle name="Percent 5 2 7" xfId="3423" xr:uid="{6D63E806-4BF2-4479-A492-40D1E50AB504}"/>
    <cellStyle name="Percent 5 3" xfId="2563" xr:uid="{00000000-0005-0000-0000-0000050A0000}"/>
    <cellStyle name="Percent 5 3 2" xfId="3428" xr:uid="{9042FF56-5B12-48F3-9691-CA49455ABBC7}"/>
    <cellStyle name="Percent 5 4" xfId="2564" xr:uid="{00000000-0005-0000-0000-0000060A0000}"/>
    <cellStyle name="Percent 5 4 2" xfId="3429" xr:uid="{71BBA597-5DC1-409D-9E83-CFEE854E02BF}"/>
    <cellStyle name="Percent 5 5" xfId="2565" xr:uid="{00000000-0005-0000-0000-0000070A0000}"/>
    <cellStyle name="Percent 5 5 2" xfId="3430" xr:uid="{8AC297C7-5348-4D9D-8BD1-9BFE13B367B4}"/>
    <cellStyle name="Percent 5 6" xfId="3422" xr:uid="{7600A7AA-A5E0-4D49-A670-D4FE57B0A49A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431" xr:uid="{D9948482-B941-484D-83D0-D94D86364B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432" xr:uid="{8B7515F8-AA0F-472F-AE6B-F9DAFEDD374D}"/>
    <cellStyle name="sbt2 4" xfId="3612" xr:uid="{3C5EECEB-6655-4B43-821E-DF090E0DF95F}"/>
    <cellStyle name="subt1" xfId="2589" xr:uid="{00000000-0005-0000-0000-00001F0A0000}"/>
    <cellStyle name="subt1 2" xfId="2590" xr:uid="{00000000-0005-0000-0000-0000200A0000}"/>
    <cellStyle name="subt1 3" xfId="3433" xr:uid="{9A5545E0-536B-4629-B2EE-F469FEEEC54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3" xfId="3613" xr:uid="{1E2ACE4A-7854-467A-B6DB-C02A84105F0E}"/>
    <cellStyle name="Total 11" xfId="2619" xr:uid="{00000000-0005-0000-0000-00003D0A0000}"/>
    <cellStyle name="Total 11 2" xfId="2620" xr:uid="{00000000-0005-0000-0000-00003E0A0000}"/>
    <cellStyle name="Total 11 3" xfId="3614" xr:uid="{CF58C644-A5DA-4F6D-B6E9-B022222C288C}"/>
    <cellStyle name="Total 12" xfId="2621" xr:uid="{00000000-0005-0000-0000-00003F0A0000}"/>
    <cellStyle name="Total 12 2" xfId="2622" xr:uid="{00000000-0005-0000-0000-0000400A0000}"/>
    <cellStyle name="Total 12 3" xfId="3615" xr:uid="{E746CC72-C6C0-4830-BE82-C2B808FC7A07}"/>
    <cellStyle name="Total 13" xfId="2623" xr:uid="{00000000-0005-0000-0000-0000410A0000}"/>
    <cellStyle name="Total 13 2" xfId="2624" xr:uid="{00000000-0005-0000-0000-0000420A0000}"/>
    <cellStyle name="Total 13 3" xfId="3616" xr:uid="{CACAD947-0F5B-4326-94C0-DF2614B4F3FB}"/>
    <cellStyle name="Total 14" xfId="2625" xr:uid="{00000000-0005-0000-0000-0000430A0000}"/>
    <cellStyle name="Total 14 2" xfId="2626" xr:uid="{00000000-0005-0000-0000-0000440A0000}"/>
    <cellStyle name="Total 14 3" xfId="3617" xr:uid="{91D163E0-5BB7-403C-B727-F07E0CD7A937}"/>
    <cellStyle name="Total 15" xfId="2627" xr:uid="{00000000-0005-0000-0000-0000450A0000}"/>
    <cellStyle name="Total 15 2" xfId="2628" xr:uid="{00000000-0005-0000-0000-0000460A0000}"/>
    <cellStyle name="Total 15 3" xfId="3618" xr:uid="{BB327FD8-A834-4E08-9AA2-141420FD5639}"/>
    <cellStyle name="Total 16" xfId="2629" xr:uid="{00000000-0005-0000-0000-0000470A0000}"/>
    <cellStyle name="Total 16 2" xfId="2630" xr:uid="{00000000-0005-0000-0000-0000480A0000}"/>
    <cellStyle name="Total 16 3" xfId="3619" xr:uid="{D1E95225-EDDF-4A21-AA51-6EAD62F62BBF}"/>
    <cellStyle name="Total 17" xfId="2696" xr:uid="{79B3D788-20EC-41AA-8644-D57CB0D7423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2 3" xfId="3621" xr:uid="{8595A04F-58F7-4976-B03F-0D80E4560AD5}"/>
    <cellStyle name="Total 2 3" xfId="2634" xr:uid="{00000000-0005-0000-0000-00004C0A0000}"/>
    <cellStyle name="Total 2 3 2" xfId="2635" xr:uid="{00000000-0005-0000-0000-00004D0A0000}"/>
    <cellStyle name="Total 2 3 3" xfId="3622" xr:uid="{695953C4-B504-43A4-98A2-FD58E4F855A1}"/>
    <cellStyle name="Total 2 4" xfId="2636" xr:uid="{00000000-0005-0000-0000-00004E0A0000}"/>
    <cellStyle name="Total 2 5" xfId="3620" xr:uid="{A6E27406-357E-4811-9541-769BA7A230CE}"/>
    <cellStyle name="Total 3" xfId="2637" xr:uid="{00000000-0005-0000-0000-00004F0A0000}"/>
    <cellStyle name="Total 3 2" xfId="2638" xr:uid="{00000000-0005-0000-0000-0000500A0000}"/>
    <cellStyle name="Total 3 3" xfId="3623" xr:uid="{A61434EC-8114-48C3-AA72-B1CC059858FA}"/>
    <cellStyle name="Total 4" xfId="2639" xr:uid="{00000000-0005-0000-0000-0000510A0000}"/>
    <cellStyle name="Total 4 2" xfId="2640" xr:uid="{00000000-0005-0000-0000-0000520A0000}"/>
    <cellStyle name="Total 4 3" xfId="3624" xr:uid="{62D3EE1F-5167-4C50-BF01-F257159FCCBA}"/>
    <cellStyle name="Total 5" xfId="2641" xr:uid="{00000000-0005-0000-0000-0000530A0000}"/>
    <cellStyle name="Total 5 2" xfId="2642" xr:uid="{00000000-0005-0000-0000-0000540A0000}"/>
    <cellStyle name="Total 5 3" xfId="3625" xr:uid="{562E5B4F-F79E-4344-91E0-01AAC34C8837}"/>
    <cellStyle name="Total 6" xfId="2643" xr:uid="{00000000-0005-0000-0000-0000550A0000}"/>
    <cellStyle name="Total 6 2" xfId="2644" xr:uid="{00000000-0005-0000-0000-0000560A0000}"/>
    <cellStyle name="Total 6 3" xfId="3626" xr:uid="{A498A864-9E05-4A4D-9CE9-2523FA76F2F8}"/>
    <cellStyle name="Total 7" xfId="2645" xr:uid="{00000000-0005-0000-0000-0000570A0000}"/>
    <cellStyle name="Total 7 2" xfId="2646" xr:uid="{00000000-0005-0000-0000-0000580A0000}"/>
    <cellStyle name="Total 7 3" xfId="3627" xr:uid="{40ADED97-2B39-460A-A43B-7643A8E91475}"/>
    <cellStyle name="Total 8" xfId="2647" xr:uid="{00000000-0005-0000-0000-0000590A0000}"/>
    <cellStyle name="Total 8 2" xfId="2648" xr:uid="{00000000-0005-0000-0000-00005A0A0000}"/>
    <cellStyle name="Total 8 3" xfId="3628" xr:uid="{0A90B366-B223-431A-B297-9A47F2AB2382}"/>
    <cellStyle name="Total 9" xfId="2649" xr:uid="{00000000-0005-0000-0000-00005B0A0000}"/>
    <cellStyle name="Total 9 2" xfId="2650" xr:uid="{00000000-0005-0000-0000-00005C0A0000}"/>
    <cellStyle name="Total 9 3" xfId="3629" xr:uid="{7C3DA86E-3062-4736-8189-04A1EAD0DC9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0.6359999999999999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0.85563309893902517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13" Type="http://schemas.openxmlformats.org/officeDocument/2006/relationships/image" Target="../media/image27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12" Type="http://schemas.openxmlformats.org/officeDocument/2006/relationships/image" Target="../media/image26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image" Target="../media/image24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Relationship Id="rId14" Type="http://schemas.openxmlformats.org/officeDocument/2006/relationships/image" Target="../media/image28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84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84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55109</xdr:colOff>
      <xdr:row>28</xdr:row>
      <xdr:rowOff>62289</xdr:rowOff>
    </xdr:from>
    <xdr:to>
      <xdr:col>10</xdr:col>
      <xdr:colOff>179666</xdr:colOff>
      <xdr:row>29</xdr:row>
      <xdr:rowOff>1805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906A6884-C62D-40D2-ADFF-657560DD2BAC}"/>
            </a:ext>
          </a:extLst>
        </xdr:cNvPr>
        <xdr:cNvSpPr/>
      </xdr:nvSpPr>
      <xdr:spPr>
        <a:xfrm rot="5400000">
          <a:off x="3435825" y="4268442"/>
          <a:ext cx="88603" cy="124557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9</xdr:col>
      <xdr:colOff>46736</xdr:colOff>
      <xdr:row>27</xdr:row>
      <xdr:rowOff>93101</xdr:rowOff>
    </xdr:from>
    <xdr:to>
      <xdr:col>10</xdr:col>
      <xdr:colOff>91377</xdr:colOff>
      <xdr:row>29</xdr:row>
      <xdr:rowOff>96376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F8F901BC-60EB-4C5E-9FE8-368FA9C1D3F4}"/>
            </a:ext>
          </a:extLst>
        </xdr:cNvPr>
        <xdr:cNvSpPr/>
      </xdr:nvSpPr>
      <xdr:spPr>
        <a:xfrm>
          <a:off x="3028475" y="4168144"/>
          <a:ext cx="425641" cy="30144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chemeClr val="accent1"/>
              </a:solidFill>
            </a:rPr>
            <a:t>BTS</a:t>
          </a:r>
        </a:p>
      </xdr:txBody>
    </xdr:sp>
    <xdr:clientData/>
  </xdr:twoCellAnchor>
  <xdr:twoCellAnchor editAs="oneCell">
    <xdr:from>
      <xdr:col>19</xdr:col>
      <xdr:colOff>181412</xdr:colOff>
      <xdr:row>1</xdr:row>
      <xdr:rowOff>115957</xdr:rowOff>
    </xdr:from>
    <xdr:to>
      <xdr:col>21</xdr:col>
      <xdr:colOff>270360</xdr:colOff>
      <xdr:row>4</xdr:row>
      <xdr:rowOff>144270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8EAB2C9-69AD-439A-9CC3-D3D67DF1A7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 rot="173698">
          <a:off x="6973151" y="281609"/>
          <a:ext cx="850948" cy="492139"/>
        </a:xfrm>
        <a:prstGeom prst="rect">
          <a:avLst/>
        </a:prstGeom>
      </xdr:spPr>
    </xdr:pic>
    <xdr:clientData/>
  </xdr:twoCellAnchor>
  <xdr:twoCellAnchor>
    <xdr:from>
      <xdr:col>26</xdr:col>
      <xdr:colOff>113229</xdr:colOff>
      <xdr:row>5</xdr:row>
      <xdr:rowOff>8975</xdr:rowOff>
    </xdr:from>
    <xdr:to>
      <xdr:col>29</xdr:col>
      <xdr:colOff>291486</xdr:colOff>
      <xdr:row>17</xdr:row>
      <xdr:rowOff>27159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9ACE62BE-B742-472F-A151-473FBE15AE4F}"/>
            </a:ext>
          </a:extLst>
        </xdr:cNvPr>
        <xdr:cNvGrpSpPr/>
      </xdr:nvGrpSpPr>
      <xdr:grpSpPr>
        <a:xfrm>
          <a:off x="9613381" y="787540"/>
          <a:ext cx="1379235" cy="1823793"/>
          <a:chOff x="9713886" y="808452"/>
          <a:chExt cx="1342558" cy="1766630"/>
        </a:xfrm>
      </xdr:grpSpPr>
      <xdr:grpSp>
        <xdr:nvGrpSpPr>
          <xdr:cNvPr id="79" name="Group 13">
            <a:extLst>
              <a:ext uri="{FF2B5EF4-FFF2-40B4-BE49-F238E27FC236}">
                <a16:creationId xmlns:a16="http://schemas.microsoft.com/office/drawing/2014/main" id="{EA2D4F0F-2919-4B9F-B3C4-797ABC60F375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44" name="Oval 1">
              <a:extLst>
                <a:ext uri="{FF2B5EF4-FFF2-40B4-BE49-F238E27FC236}">
                  <a16:creationId xmlns:a16="http://schemas.microsoft.com/office/drawing/2014/main" id="{CD8D94CD-9FC9-4C27-8E18-C074EBCC6D5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45" name="Straight Connector 3">
              <a:extLst>
                <a:ext uri="{FF2B5EF4-FFF2-40B4-BE49-F238E27FC236}">
                  <a16:creationId xmlns:a16="http://schemas.microsoft.com/office/drawing/2014/main" id="{15ABDB61-5186-498E-A09B-FFB6F9D11DD9}"/>
                </a:ext>
              </a:extLst>
            </xdr:cNvPr>
            <xdr:cNvCxnSpPr>
              <a:stCxn id="95" idx="1"/>
              <a:endCxn id="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6" name="Straight Connector 7">
              <a:extLst>
                <a:ext uri="{FF2B5EF4-FFF2-40B4-BE49-F238E27FC236}">
                  <a16:creationId xmlns:a16="http://schemas.microsoft.com/office/drawing/2014/main" id="{CB57C0A5-18F8-4943-9EB7-A058776A2276}"/>
                </a:ext>
              </a:extLst>
            </xdr:cNvPr>
            <xdr:cNvCxnSpPr>
              <a:stCxn id="95" idx="3"/>
              <a:endCxn id="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0" name="Oval 79">
            <a:extLst>
              <a:ext uri="{FF2B5EF4-FFF2-40B4-BE49-F238E27FC236}">
                <a16:creationId xmlns:a16="http://schemas.microsoft.com/office/drawing/2014/main" id="{A3562E92-B94A-496A-9A71-7379FCD9E337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81" name="Group 14">
            <a:extLst>
              <a:ext uri="{FF2B5EF4-FFF2-40B4-BE49-F238E27FC236}">
                <a16:creationId xmlns:a16="http://schemas.microsoft.com/office/drawing/2014/main" id="{8C665CF6-370C-4604-B87B-C58E7260199B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38" name="Oval 137">
              <a:extLst>
                <a:ext uri="{FF2B5EF4-FFF2-40B4-BE49-F238E27FC236}">
                  <a16:creationId xmlns:a16="http://schemas.microsoft.com/office/drawing/2014/main" id="{D2C2A4FC-4145-4759-8CAA-5916EBE7C8F9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39" name="Straight Connector 138">
              <a:extLst>
                <a:ext uri="{FF2B5EF4-FFF2-40B4-BE49-F238E27FC236}">
                  <a16:creationId xmlns:a16="http://schemas.microsoft.com/office/drawing/2014/main" id="{B872F564-5FF6-4714-A635-A3886A2AA09B}"/>
                </a:ext>
              </a:extLst>
            </xdr:cNvPr>
            <xdr:cNvCxnSpPr>
              <a:stCxn id="138" idx="1"/>
              <a:endCxn id="13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0" name="Straight Connector 139">
              <a:extLst>
                <a:ext uri="{FF2B5EF4-FFF2-40B4-BE49-F238E27FC236}">
                  <a16:creationId xmlns:a16="http://schemas.microsoft.com/office/drawing/2014/main" id="{3ED809AC-BEB0-474C-8372-81B7A2982623}"/>
                </a:ext>
              </a:extLst>
            </xdr:cNvPr>
            <xdr:cNvCxnSpPr>
              <a:stCxn id="138" idx="3"/>
              <a:endCxn id="13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2" name="Oval 81">
            <a:extLst>
              <a:ext uri="{FF2B5EF4-FFF2-40B4-BE49-F238E27FC236}">
                <a16:creationId xmlns:a16="http://schemas.microsoft.com/office/drawing/2014/main" id="{B2335412-29FA-43F9-B405-C3DDC15CE737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79A0BAF2-EC79-4020-BACC-B6CFB1478231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166627AA-2B0E-481E-94C3-1358C4C38B94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C14CC11-ABB4-4220-869F-A4E0047D68B7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0818AE18-8C3A-4D05-ACF6-766B0315AE2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CC947FC8-6CFC-475A-A07C-98DCE3C2DE9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DA953F45-B981-4F98-8E31-B99149BDC77B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D157B8B3-D7AD-4ABB-8830-37E5F50C8DF6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8BA996F8-9837-43EF-B4D0-BECB179C13B2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AA908620-4D34-4B85-BDD9-1CFD94D7627D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95D347C1-DFC9-4F10-9687-A758C0395DC2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17B6E9C2-37D5-4326-8AE9-F8B0DECA4EC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A2CE163F-F874-41E3-B48E-A0B4C5B1F72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50">
            <a:extLst>
              <a:ext uri="{FF2B5EF4-FFF2-40B4-BE49-F238E27FC236}">
                <a16:creationId xmlns:a16="http://schemas.microsoft.com/office/drawing/2014/main" id="{99D40EE1-73F9-4865-9D02-664698228C3C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726251A9-C185-4F20-AD2F-17F6B9839311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52">
            <a:extLst>
              <a:ext uri="{FF2B5EF4-FFF2-40B4-BE49-F238E27FC236}">
                <a16:creationId xmlns:a16="http://schemas.microsoft.com/office/drawing/2014/main" id="{B9197CA9-F2D5-40C6-B201-55A0BED3FA3D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9F335D66-EE93-4A5C-85D4-4E097C24D3B4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D9DA93B9-64C9-4BC9-998F-6917059581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DCE27740-8452-4F28-89E7-B56D1953078B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90F09B28-E583-4C05-9054-B2AAA5034B4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63AFED80-0BAE-445E-A15B-8116DFB8A336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A5C246E4-87D4-4412-8234-2346CF6E9A7F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37A86E9-6285-4574-A8A2-CA62691F989E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5" name="Isosceles Triangle 104">
            <a:extLst>
              <a:ext uri="{FF2B5EF4-FFF2-40B4-BE49-F238E27FC236}">
                <a16:creationId xmlns:a16="http://schemas.microsoft.com/office/drawing/2014/main" id="{567D2198-6178-4851-82AF-743B8DDC29B6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6" name="Isosceles Triangle 105">
            <a:extLst>
              <a:ext uri="{FF2B5EF4-FFF2-40B4-BE49-F238E27FC236}">
                <a16:creationId xmlns:a16="http://schemas.microsoft.com/office/drawing/2014/main" id="{8924A7EE-C09A-4B09-9728-0D2EB85F1732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7" name="Group 73">
            <a:extLst>
              <a:ext uri="{FF2B5EF4-FFF2-40B4-BE49-F238E27FC236}">
                <a16:creationId xmlns:a16="http://schemas.microsoft.com/office/drawing/2014/main" id="{9E75B362-52E7-484F-B608-EF73F7644D87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136" name="TextBox 135">
              <a:extLst>
                <a:ext uri="{FF2B5EF4-FFF2-40B4-BE49-F238E27FC236}">
                  <a16:creationId xmlns:a16="http://schemas.microsoft.com/office/drawing/2014/main" id="{CE3D2186-9280-4A64-87AE-1E96F8651F93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37" name="Straight Connector 136">
              <a:extLst>
                <a:ext uri="{FF2B5EF4-FFF2-40B4-BE49-F238E27FC236}">
                  <a16:creationId xmlns:a16="http://schemas.microsoft.com/office/drawing/2014/main" id="{21555468-3D6C-4F9A-905F-BE52DD0A13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08" name="Group 74">
            <a:extLst>
              <a:ext uri="{FF2B5EF4-FFF2-40B4-BE49-F238E27FC236}">
                <a16:creationId xmlns:a16="http://schemas.microsoft.com/office/drawing/2014/main" id="{8DBBCE15-BEC6-41E1-8113-1153CA04A376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34" name="TextBox 133">
              <a:extLst>
                <a:ext uri="{FF2B5EF4-FFF2-40B4-BE49-F238E27FC236}">
                  <a16:creationId xmlns:a16="http://schemas.microsoft.com/office/drawing/2014/main" id="{1AD3595A-37BB-49D3-A55A-5FD8E06DB14F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35" name="Straight Connector 134">
              <a:extLst>
                <a:ext uri="{FF2B5EF4-FFF2-40B4-BE49-F238E27FC236}">
                  <a16:creationId xmlns:a16="http://schemas.microsoft.com/office/drawing/2014/main" id="{65056185-9A74-4433-8CDC-DA3398170435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09" name="Group 89">
            <a:extLst>
              <a:ext uri="{FF2B5EF4-FFF2-40B4-BE49-F238E27FC236}">
                <a16:creationId xmlns:a16="http://schemas.microsoft.com/office/drawing/2014/main" id="{3D3AB8A7-F666-431F-AD60-6F1EB39D28DB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27" name="Straight Connector 126">
              <a:extLst>
                <a:ext uri="{FF2B5EF4-FFF2-40B4-BE49-F238E27FC236}">
                  <a16:creationId xmlns:a16="http://schemas.microsoft.com/office/drawing/2014/main" id="{06CEF4C8-F951-408D-BFF0-30A1964FC52E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1" name="Straight Connector 79">
              <a:extLst>
                <a:ext uri="{FF2B5EF4-FFF2-40B4-BE49-F238E27FC236}">
                  <a16:creationId xmlns:a16="http://schemas.microsoft.com/office/drawing/2014/main" id="{D856ACEA-87FA-4786-BE5F-B11BF98AD6AF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2" name="Straight Connector 80">
              <a:extLst>
                <a:ext uri="{FF2B5EF4-FFF2-40B4-BE49-F238E27FC236}">
                  <a16:creationId xmlns:a16="http://schemas.microsoft.com/office/drawing/2014/main" id="{13B2D289-03AE-438E-A02A-29A3921A357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3" name="Straight Connector 88">
              <a:extLst>
                <a:ext uri="{FF2B5EF4-FFF2-40B4-BE49-F238E27FC236}">
                  <a16:creationId xmlns:a16="http://schemas.microsoft.com/office/drawing/2014/main" id="{E2A51512-6507-4BBF-AE8B-9F9A61B1D5DE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10" name="Group 90">
            <a:extLst>
              <a:ext uri="{FF2B5EF4-FFF2-40B4-BE49-F238E27FC236}">
                <a16:creationId xmlns:a16="http://schemas.microsoft.com/office/drawing/2014/main" id="{1D58E5B1-B4AE-40DF-883E-E8500761905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23" name="Straight Connector 122">
              <a:extLst>
                <a:ext uri="{FF2B5EF4-FFF2-40B4-BE49-F238E27FC236}">
                  <a16:creationId xmlns:a16="http://schemas.microsoft.com/office/drawing/2014/main" id="{22DDD893-3D20-41F0-A75D-3EBFBBD64178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4" name="Straight Connector 123">
              <a:extLst>
                <a:ext uri="{FF2B5EF4-FFF2-40B4-BE49-F238E27FC236}">
                  <a16:creationId xmlns:a16="http://schemas.microsoft.com/office/drawing/2014/main" id="{5F16D1B9-7289-473D-AEB5-4636CDBD35FD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5" name="Straight Connector 124">
              <a:extLst>
                <a:ext uri="{FF2B5EF4-FFF2-40B4-BE49-F238E27FC236}">
                  <a16:creationId xmlns:a16="http://schemas.microsoft.com/office/drawing/2014/main" id="{5C6159E9-8F9D-46DD-BFEB-9BE0701BED4B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6" name="Straight Connector 125">
              <a:extLst>
                <a:ext uri="{FF2B5EF4-FFF2-40B4-BE49-F238E27FC236}">
                  <a16:creationId xmlns:a16="http://schemas.microsoft.com/office/drawing/2014/main" id="{6D7BF833-6816-4D5F-9302-F271F1CA0CE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8DA6E056-7294-4915-96C5-51E629C282A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38241EA6-E06F-4256-A395-5E3CADECA953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Arrow Connector 112">
            <a:extLst>
              <a:ext uri="{FF2B5EF4-FFF2-40B4-BE49-F238E27FC236}">
                <a16:creationId xmlns:a16="http://schemas.microsoft.com/office/drawing/2014/main" id="{FAC424EC-924F-4863-BA45-FDCDFC123567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Arrow Connector 113">
            <a:extLst>
              <a:ext uri="{FF2B5EF4-FFF2-40B4-BE49-F238E27FC236}">
                <a16:creationId xmlns:a16="http://schemas.microsoft.com/office/drawing/2014/main" id="{5B2A484E-D248-4F6F-BC17-901DF0E7A08A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15" name="Group 155">
            <a:extLst>
              <a:ext uri="{FF2B5EF4-FFF2-40B4-BE49-F238E27FC236}">
                <a16:creationId xmlns:a16="http://schemas.microsoft.com/office/drawing/2014/main" id="{D7AC6F73-A58C-45CE-9A14-E81F96781423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20" name="Isosceles Triangle 119">
              <a:extLst>
                <a:ext uri="{FF2B5EF4-FFF2-40B4-BE49-F238E27FC236}">
                  <a16:creationId xmlns:a16="http://schemas.microsoft.com/office/drawing/2014/main" id="{E75CBEAF-8506-4E8F-B8F9-425363F47D07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21" name="Isosceles Triangle 120">
              <a:extLst>
                <a:ext uri="{FF2B5EF4-FFF2-40B4-BE49-F238E27FC236}">
                  <a16:creationId xmlns:a16="http://schemas.microsoft.com/office/drawing/2014/main" id="{064BC676-09C8-46BD-93FB-C948BB6C90C4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22" name="Isosceles Triangle 121">
              <a:extLst>
                <a:ext uri="{FF2B5EF4-FFF2-40B4-BE49-F238E27FC236}">
                  <a16:creationId xmlns:a16="http://schemas.microsoft.com/office/drawing/2014/main" id="{95655534-9FDE-4F03-BBA6-A37703F23901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16" name="Group 134">
            <a:extLst>
              <a:ext uri="{FF2B5EF4-FFF2-40B4-BE49-F238E27FC236}">
                <a16:creationId xmlns:a16="http://schemas.microsoft.com/office/drawing/2014/main" id="{69F384D8-7390-46C1-BC82-88FF45827E6D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17" name="Isosceles Triangle 116">
              <a:extLst>
                <a:ext uri="{FF2B5EF4-FFF2-40B4-BE49-F238E27FC236}">
                  <a16:creationId xmlns:a16="http://schemas.microsoft.com/office/drawing/2014/main" id="{EEB61719-5DE6-4FAB-A23F-E1D1988D251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18" name="Isosceles Triangle 117">
              <a:extLst>
                <a:ext uri="{FF2B5EF4-FFF2-40B4-BE49-F238E27FC236}">
                  <a16:creationId xmlns:a16="http://schemas.microsoft.com/office/drawing/2014/main" id="{2FE6ECB1-6D32-4419-AF7C-932A535DE62E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19" name="Isosceles Triangle 118">
              <a:extLst>
                <a:ext uri="{FF2B5EF4-FFF2-40B4-BE49-F238E27FC236}">
                  <a16:creationId xmlns:a16="http://schemas.microsoft.com/office/drawing/2014/main" id="{469C100F-19FA-46E6-A45C-80FFAFD900CE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238284</xdr:colOff>
      <xdr:row>18</xdr:row>
      <xdr:rowOff>87774</xdr:rowOff>
    </xdr:from>
    <xdr:to>
      <xdr:col>17</xdr:col>
      <xdr:colOff>267591</xdr:colOff>
      <xdr:row>18</xdr:row>
      <xdr:rowOff>95101</xdr:rowOff>
    </xdr:to>
    <xdr:cxnSp macro="">
      <xdr:nvCxnSpPr>
        <xdr:cNvPr id="147" name="Straight Connector 146">
          <a:extLst>
            <a:ext uri="{FF2B5EF4-FFF2-40B4-BE49-F238E27FC236}">
              <a16:creationId xmlns:a16="http://schemas.microsoft.com/office/drawing/2014/main" id="{78D4A88C-39EF-4DE0-8A1D-BC6052082F1F}"/>
            </a:ext>
          </a:extLst>
        </xdr:cNvPr>
        <xdr:cNvCxnSpPr/>
      </xdr:nvCxnSpPr>
      <xdr:spPr>
        <a:xfrm flipH="1">
          <a:off x="2839023" y="2821035"/>
          <a:ext cx="3458307" cy="732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230045</xdr:colOff>
      <xdr:row>17</xdr:row>
      <xdr:rowOff>72253</xdr:rowOff>
    </xdr:from>
    <xdr:to>
      <xdr:col>15</xdr:col>
      <xdr:colOff>240462</xdr:colOff>
      <xdr:row>19</xdr:row>
      <xdr:rowOff>88227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9F2207C1-EF18-41B5-A4FE-63C6CCC4326D}"/>
            </a:ext>
          </a:extLst>
        </xdr:cNvPr>
        <xdr:cNvSpPr/>
      </xdr:nvSpPr>
      <xdr:spPr>
        <a:xfrm>
          <a:off x="3592784" y="2656427"/>
          <a:ext cx="1915417" cy="314148"/>
        </a:xfrm>
        <a:prstGeom prst="rect">
          <a:avLst/>
        </a:prstGeom>
        <a:noFill/>
        <a:ln w="6350">
          <a:noFill/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 u="sng">
              <a:solidFill>
                <a:schemeClr val="tx1"/>
              </a:solidFill>
            </a:rPr>
            <a:t>JL DMK</a:t>
          </a:r>
          <a:r>
            <a:rPr lang="en-US" sz="1000" b="1" u="sng" baseline="0">
              <a:solidFill>
                <a:schemeClr val="tx1"/>
              </a:solidFill>
            </a:rPr>
            <a:t> - WELAHAN</a:t>
          </a:r>
        </a:p>
      </xdr:txBody>
    </xdr:sp>
    <xdr:clientData/>
  </xdr:twoCellAnchor>
  <xdr:twoCellAnchor>
    <xdr:from>
      <xdr:col>12</xdr:col>
      <xdr:colOff>107316</xdr:colOff>
      <xdr:row>20</xdr:row>
      <xdr:rowOff>26649</xdr:rowOff>
    </xdr:from>
    <xdr:to>
      <xdr:col>12</xdr:col>
      <xdr:colOff>237365</xdr:colOff>
      <xdr:row>20</xdr:row>
      <xdr:rowOff>102071</xdr:rowOff>
    </xdr:to>
    <xdr:grpSp>
      <xdr:nvGrpSpPr>
        <xdr:cNvPr id="149" name="Group 148">
          <a:extLst>
            <a:ext uri="{FF2B5EF4-FFF2-40B4-BE49-F238E27FC236}">
              <a16:creationId xmlns:a16="http://schemas.microsoft.com/office/drawing/2014/main" id="{5A0830F8-DA37-450C-9669-6E45098A6D82}"/>
            </a:ext>
          </a:extLst>
        </xdr:cNvPr>
        <xdr:cNvGrpSpPr/>
      </xdr:nvGrpSpPr>
      <xdr:grpSpPr>
        <a:xfrm rot="4388217">
          <a:off x="4259369" y="3030770"/>
          <a:ext cx="75422" cy="130049"/>
          <a:chOff x="4078687" y="2936713"/>
          <a:chExt cx="79159" cy="99180"/>
        </a:xfrm>
      </xdr:grpSpPr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276629F2-8040-4BC2-A584-E9588B1FB788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B40EB208-2A80-4811-90BD-2045E2B20484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FA16A804-5B16-40AC-9E8E-26055EB889AA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2972</xdr:colOff>
      <xdr:row>28</xdr:row>
      <xdr:rowOff>133478</xdr:rowOff>
    </xdr:from>
    <xdr:to>
      <xdr:col>12</xdr:col>
      <xdr:colOff>377496</xdr:colOff>
      <xdr:row>30</xdr:row>
      <xdr:rowOff>21513</xdr:rowOff>
    </xdr:to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0D303CD2-6776-4A64-BE3B-811EB3A725FF}"/>
            </a:ext>
          </a:extLst>
        </xdr:cNvPr>
        <xdr:cNvSpPr txBox="1"/>
      </xdr:nvSpPr>
      <xdr:spPr>
        <a:xfrm>
          <a:off x="4127711" y="4357608"/>
          <a:ext cx="374524" cy="17792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  <a:endParaRPr lang="id-ID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296141</xdr:colOff>
      <xdr:row>21</xdr:row>
      <xdr:rowOff>32021</xdr:rowOff>
    </xdr:from>
    <xdr:to>
      <xdr:col>10</xdr:col>
      <xdr:colOff>23627</xdr:colOff>
      <xdr:row>22</xdr:row>
      <xdr:rowOff>1006</xdr:rowOff>
    </xdr:to>
    <xdr:sp macro="" textlink="">
      <xdr:nvSpPr>
        <xdr:cNvPr id="155" name="Isosceles Triangle 154">
          <a:extLst>
            <a:ext uri="{FF2B5EF4-FFF2-40B4-BE49-F238E27FC236}">
              <a16:creationId xmlns:a16="http://schemas.microsoft.com/office/drawing/2014/main" id="{86352592-72E1-410D-8AB6-592659C46B36}"/>
            </a:ext>
          </a:extLst>
        </xdr:cNvPr>
        <xdr:cNvSpPr/>
      </xdr:nvSpPr>
      <xdr:spPr>
        <a:xfrm>
          <a:off x="3277880" y="3212543"/>
          <a:ext cx="108486" cy="118072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216303</xdr:colOff>
      <xdr:row>31</xdr:row>
      <xdr:rowOff>11638</xdr:rowOff>
    </xdr:from>
    <xdr:to>
      <xdr:col>17</xdr:col>
      <xdr:colOff>245610</xdr:colOff>
      <xdr:row>31</xdr:row>
      <xdr:rowOff>18965</xdr:rowOff>
    </xdr:to>
    <xdr:cxnSp macro="">
      <xdr:nvCxnSpPr>
        <xdr:cNvPr id="156" name="Straight Connector 155">
          <a:extLst>
            <a:ext uri="{FF2B5EF4-FFF2-40B4-BE49-F238E27FC236}">
              <a16:creationId xmlns:a16="http://schemas.microsoft.com/office/drawing/2014/main" id="{9722BDE3-20A8-42FE-9A74-C9F3971A3414}"/>
            </a:ext>
          </a:extLst>
        </xdr:cNvPr>
        <xdr:cNvCxnSpPr/>
      </xdr:nvCxnSpPr>
      <xdr:spPr>
        <a:xfrm flipH="1">
          <a:off x="2817042" y="4674747"/>
          <a:ext cx="3458307" cy="732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370168</xdr:colOff>
      <xdr:row>18</xdr:row>
      <xdr:rowOff>65793</xdr:rowOff>
    </xdr:from>
    <xdr:to>
      <xdr:col>16</xdr:col>
      <xdr:colOff>33130</xdr:colOff>
      <xdr:row>34</xdr:row>
      <xdr:rowOff>99242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D8CE848B-2AB0-42F1-B43B-1C7944036939}"/>
            </a:ext>
          </a:extLst>
        </xdr:cNvPr>
        <xdr:cNvCxnSpPr/>
      </xdr:nvCxnSpPr>
      <xdr:spPr>
        <a:xfrm>
          <a:off x="5637907" y="2799054"/>
          <a:ext cx="43962" cy="2410558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377496</xdr:colOff>
      <xdr:row>18</xdr:row>
      <xdr:rowOff>43812</xdr:rowOff>
    </xdr:from>
    <xdr:to>
      <xdr:col>11</xdr:col>
      <xdr:colOff>40458</xdr:colOff>
      <xdr:row>34</xdr:row>
      <xdr:rowOff>77261</xdr:rowOff>
    </xdr:to>
    <xdr:cxnSp macro="">
      <xdr:nvCxnSpPr>
        <xdr:cNvPr id="158" name="Straight Connector 157">
          <a:extLst>
            <a:ext uri="{FF2B5EF4-FFF2-40B4-BE49-F238E27FC236}">
              <a16:creationId xmlns:a16="http://schemas.microsoft.com/office/drawing/2014/main" id="{A381EDFD-5A7B-476A-91BA-55706FDFB855}"/>
            </a:ext>
          </a:extLst>
        </xdr:cNvPr>
        <xdr:cNvCxnSpPr/>
      </xdr:nvCxnSpPr>
      <xdr:spPr>
        <a:xfrm>
          <a:off x="3740235" y="2777073"/>
          <a:ext cx="43962" cy="2410558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69765</xdr:colOff>
      <xdr:row>28</xdr:row>
      <xdr:rowOff>69616</xdr:rowOff>
    </xdr:from>
    <xdr:to>
      <xdr:col>15</xdr:col>
      <xdr:colOff>198719</xdr:colOff>
      <xdr:row>29</xdr:row>
      <xdr:rowOff>53146</xdr:rowOff>
    </xdr:to>
    <xdr:grpSp>
      <xdr:nvGrpSpPr>
        <xdr:cNvPr id="159" name="Group 158">
          <a:extLst>
            <a:ext uri="{FF2B5EF4-FFF2-40B4-BE49-F238E27FC236}">
              <a16:creationId xmlns:a16="http://schemas.microsoft.com/office/drawing/2014/main" id="{44413E67-36F3-419A-8633-187CF4E118EB}"/>
            </a:ext>
          </a:extLst>
        </xdr:cNvPr>
        <xdr:cNvGrpSpPr/>
      </xdr:nvGrpSpPr>
      <xdr:grpSpPr>
        <a:xfrm>
          <a:off x="5337504" y="4293746"/>
          <a:ext cx="128954" cy="13261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6" name="Oval 225">
            <a:extLst>
              <a:ext uri="{FF2B5EF4-FFF2-40B4-BE49-F238E27FC236}">
                <a16:creationId xmlns:a16="http://schemas.microsoft.com/office/drawing/2014/main" id="{B53D522A-440C-472E-929B-70CC2E4B006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F8E55D46-1C0A-4897-AF63-C43660D5C1B9}"/>
              </a:ext>
            </a:extLst>
          </xdr:cNvPr>
          <xdr:cNvCxnSpPr>
            <a:stCxn id="226" idx="1"/>
            <a:endCxn id="22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235CBC68-089C-4826-BBF0-39C48F3C8325}"/>
              </a:ext>
            </a:extLst>
          </xdr:cNvPr>
          <xdr:cNvCxnSpPr>
            <a:stCxn id="226" idx="3"/>
            <a:endCxn id="22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33130</xdr:colOff>
      <xdr:row>19</xdr:row>
      <xdr:rowOff>143841</xdr:rowOff>
    </xdr:from>
    <xdr:to>
      <xdr:col>18</xdr:col>
      <xdr:colOff>69764</xdr:colOff>
      <xdr:row>19</xdr:row>
      <xdr:rowOff>143841</xdr:rowOff>
    </xdr:to>
    <xdr:cxnSp macro="">
      <xdr:nvCxnSpPr>
        <xdr:cNvPr id="229" name="Straight Connector 228">
          <a:extLst>
            <a:ext uri="{FF2B5EF4-FFF2-40B4-BE49-F238E27FC236}">
              <a16:creationId xmlns:a16="http://schemas.microsoft.com/office/drawing/2014/main" id="{48720611-848B-489D-895E-A455D72D82D0}"/>
            </a:ext>
          </a:extLst>
        </xdr:cNvPr>
        <xdr:cNvCxnSpPr/>
      </xdr:nvCxnSpPr>
      <xdr:spPr>
        <a:xfrm>
          <a:off x="2633869" y="3026189"/>
          <a:ext cx="3846634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260430</xdr:colOff>
      <xdr:row>20</xdr:row>
      <xdr:rowOff>107949</xdr:rowOff>
    </xdr:from>
    <xdr:to>
      <xdr:col>15</xdr:col>
      <xdr:colOff>134242</xdr:colOff>
      <xdr:row>28</xdr:row>
      <xdr:rowOff>69616</xdr:rowOff>
    </xdr:to>
    <xdr:cxnSp macro="">
      <xdr:nvCxnSpPr>
        <xdr:cNvPr id="230" name="Straight Connector 229">
          <a:extLst>
            <a:ext uri="{FF2B5EF4-FFF2-40B4-BE49-F238E27FC236}">
              <a16:creationId xmlns:a16="http://schemas.microsoft.com/office/drawing/2014/main" id="{EDF58E06-8B99-4846-AF73-101CED58952B}"/>
            </a:ext>
          </a:extLst>
        </xdr:cNvPr>
        <xdr:cNvCxnSpPr>
          <a:stCxn id="226" idx="0"/>
          <a:endCxn id="237" idx="5"/>
        </xdr:cNvCxnSpPr>
      </xdr:nvCxnSpPr>
      <xdr:spPr>
        <a:xfrm flipH="1" flipV="1">
          <a:off x="5147169" y="3139384"/>
          <a:ext cx="254812" cy="115436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150532</xdr:colOff>
      <xdr:row>20</xdr:row>
      <xdr:rowOff>61381</xdr:rowOff>
    </xdr:from>
    <xdr:to>
      <xdr:col>11</xdr:col>
      <xdr:colOff>244146</xdr:colOff>
      <xdr:row>29</xdr:row>
      <xdr:rowOff>60473</xdr:rowOff>
    </xdr:to>
    <xdr:cxnSp macro="">
      <xdr:nvCxnSpPr>
        <xdr:cNvPr id="231" name="Straight Connector 230">
          <a:extLst>
            <a:ext uri="{FF2B5EF4-FFF2-40B4-BE49-F238E27FC236}">
              <a16:creationId xmlns:a16="http://schemas.microsoft.com/office/drawing/2014/main" id="{7E933837-616A-4961-B2E0-1BACC891D278}"/>
            </a:ext>
          </a:extLst>
        </xdr:cNvPr>
        <xdr:cNvCxnSpPr>
          <a:stCxn id="242" idx="4"/>
          <a:endCxn id="233" idx="6"/>
        </xdr:cNvCxnSpPr>
      </xdr:nvCxnSpPr>
      <xdr:spPr>
        <a:xfrm flipH="1" flipV="1">
          <a:off x="3513271" y="3092816"/>
          <a:ext cx="474614" cy="13408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21578</xdr:colOff>
      <xdr:row>19</xdr:row>
      <xdr:rowOff>144159</xdr:rowOff>
    </xdr:from>
    <xdr:to>
      <xdr:col>10</xdr:col>
      <xdr:colOff>150532</xdr:colOff>
      <xdr:row>20</xdr:row>
      <xdr:rowOff>127689</xdr:rowOff>
    </xdr:to>
    <xdr:grpSp>
      <xdr:nvGrpSpPr>
        <xdr:cNvPr id="232" name="Group 231">
          <a:extLst>
            <a:ext uri="{FF2B5EF4-FFF2-40B4-BE49-F238E27FC236}">
              <a16:creationId xmlns:a16="http://schemas.microsoft.com/office/drawing/2014/main" id="{B060631D-598D-4CAC-AE94-D06FB34B2515}"/>
            </a:ext>
          </a:extLst>
        </xdr:cNvPr>
        <xdr:cNvGrpSpPr/>
      </xdr:nvGrpSpPr>
      <xdr:grpSpPr>
        <a:xfrm>
          <a:off x="3384317" y="3026507"/>
          <a:ext cx="128954" cy="13261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3" name="Oval 232">
            <a:extLst>
              <a:ext uri="{FF2B5EF4-FFF2-40B4-BE49-F238E27FC236}">
                <a16:creationId xmlns:a16="http://schemas.microsoft.com/office/drawing/2014/main" id="{57F9A19D-402A-4EB2-B7FD-F85C2DA64B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9F55D8B8-7035-4830-84D1-1B5180FF9268}"/>
              </a:ext>
            </a:extLst>
          </xdr:cNvPr>
          <xdr:cNvCxnSpPr>
            <a:stCxn id="233" idx="1"/>
            <a:endCxn id="23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814518EB-FEF8-4A37-ACCD-B4D1FA702F07}"/>
              </a:ext>
            </a:extLst>
          </xdr:cNvPr>
          <xdr:cNvCxnSpPr>
            <a:stCxn id="233" idx="3"/>
            <a:endCxn id="23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150361</xdr:colOff>
      <xdr:row>19</xdr:row>
      <xdr:rowOff>143840</xdr:rowOff>
    </xdr:from>
    <xdr:to>
      <xdr:col>14</xdr:col>
      <xdr:colOff>279315</xdr:colOff>
      <xdr:row>20</xdr:row>
      <xdr:rowOff>127370</xdr:rowOff>
    </xdr:to>
    <xdr:grpSp>
      <xdr:nvGrpSpPr>
        <xdr:cNvPr id="236" name="Group 235">
          <a:extLst>
            <a:ext uri="{FF2B5EF4-FFF2-40B4-BE49-F238E27FC236}">
              <a16:creationId xmlns:a16="http://schemas.microsoft.com/office/drawing/2014/main" id="{9BD932E3-E5F1-4F6D-9803-B1A96FECDB1E}"/>
            </a:ext>
          </a:extLst>
        </xdr:cNvPr>
        <xdr:cNvGrpSpPr/>
      </xdr:nvGrpSpPr>
      <xdr:grpSpPr>
        <a:xfrm>
          <a:off x="5037100" y="3026188"/>
          <a:ext cx="128954" cy="13261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7" name="Oval 236">
            <a:extLst>
              <a:ext uri="{FF2B5EF4-FFF2-40B4-BE49-F238E27FC236}">
                <a16:creationId xmlns:a16="http://schemas.microsoft.com/office/drawing/2014/main" id="{30954F98-D2C1-48C0-9517-517552B5FBE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9B22BA1B-651E-423D-8F13-D45B9B29DD60}"/>
              </a:ext>
            </a:extLst>
          </xdr:cNvPr>
          <xdr:cNvCxnSpPr>
            <a:stCxn id="237" idx="1"/>
            <a:endCxn id="2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238">
            <a:extLst>
              <a:ext uri="{FF2B5EF4-FFF2-40B4-BE49-F238E27FC236}">
                <a16:creationId xmlns:a16="http://schemas.microsoft.com/office/drawing/2014/main" id="{85B2E6A6-1454-451E-876C-A88A566FE5E6}"/>
              </a:ext>
            </a:extLst>
          </xdr:cNvPr>
          <xdr:cNvCxnSpPr>
            <a:stCxn id="237" idx="3"/>
            <a:endCxn id="2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172341</xdr:colOff>
      <xdr:row>28</xdr:row>
      <xdr:rowOff>120905</xdr:rowOff>
    </xdr:from>
    <xdr:to>
      <xdr:col>11</xdr:col>
      <xdr:colOff>308623</xdr:colOff>
      <xdr:row>28</xdr:row>
      <xdr:rowOff>143252</xdr:rowOff>
    </xdr:to>
    <xdr:cxnSp macro="">
      <xdr:nvCxnSpPr>
        <xdr:cNvPr id="240" name="Straight Connector 239">
          <a:extLst>
            <a:ext uri="{FF2B5EF4-FFF2-40B4-BE49-F238E27FC236}">
              <a16:creationId xmlns:a16="http://schemas.microsoft.com/office/drawing/2014/main" id="{18BE59CF-224B-48E2-9202-B6A6A4670904}"/>
            </a:ext>
          </a:extLst>
        </xdr:cNvPr>
        <xdr:cNvCxnSpPr>
          <a:endCxn id="242" idx="6"/>
        </xdr:cNvCxnSpPr>
      </xdr:nvCxnSpPr>
      <xdr:spPr>
        <a:xfrm>
          <a:off x="3535080" y="4345035"/>
          <a:ext cx="517282" cy="2234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179669</xdr:colOff>
      <xdr:row>28</xdr:row>
      <xdr:rowOff>76943</xdr:rowOff>
    </xdr:from>
    <xdr:to>
      <xdr:col>11</xdr:col>
      <xdr:colOff>308623</xdr:colOff>
      <xdr:row>29</xdr:row>
      <xdr:rowOff>60473</xdr:rowOff>
    </xdr:to>
    <xdr:grpSp>
      <xdr:nvGrpSpPr>
        <xdr:cNvPr id="241" name="Group 240">
          <a:extLst>
            <a:ext uri="{FF2B5EF4-FFF2-40B4-BE49-F238E27FC236}">
              <a16:creationId xmlns:a16="http://schemas.microsoft.com/office/drawing/2014/main" id="{273AFE73-74DC-428F-850A-BAEDC77D91E5}"/>
            </a:ext>
          </a:extLst>
        </xdr:cNvPr>
        <xdr:cNvGrpSpPr/>
      </xdr:nvGrpSpPr>
      <xdr:grpSpPr>
        <a:xfrm>
          <a:off x="3923408" y="4301073"/>
          <a:ext cx="128954" cy="13261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2" name="Oval 241">
            <a:extLst>
              <a:ext uri="{FF2B5EF4-FFF2-40B4-BE49-F238E27FC236}">
                <a16:creationId xmlns:a16="http://schemas.microsoft.com/office/drawing/2014/main" id="{FA199B43-8BC5-4447-81B0-EF4791B69D4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3" name="Straight Connector 242">
            <a:extLst>
              <a:ext uri="{FF2B5EF4-FFF2-40B4-BE49-F238E27FC236}">
                <a16:creationId xmlns:a16="http://schemas.microsoft.com/office/drawing/2014/main" id="{A729197C-BD01-43AC-858F-C2D7A759EB29}"/>
              </a:ext>
            </a:extLst>
          </xdr:cNvPr>
          <xdr:cNvCxnSpPr>
            <a:stCxn id="242" idx="1"/>
            <a:endCxn id="24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DE611710-8B56-4EF9-BD4E-0C5B4A2601EF}"/>
              </a:ext>
            </a:extLst>
          </xdr:cNvPr>
          <xdr:cNvCxnSpPr>
            <a:stCxn id="242" idx="3"/>
            <a:endCxn id="24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326183</xdr:colOff>
      <xdr:row>28</xdr:row>
      <xdr:rowOff>65116</xdr:rowOff>
    </xdr:from>
    <xdr:to>
      <xdr:col>11</xdr:col>
      <xdr:colOff>51236</xdr:colOff>
      <xdr:row>29</xdr:row>
      <xdr:rowOff>80800</xdr:rowOff>
    </xdr:to>
    <xdr:grpSp>
      <xdr:nvGrpSpPr>
        <xdr:cNvPr id="245" name="Group 244">
          <a:extLst>
            <a:ext uri="{FF2B5EF4-FFF2-40B4-BE49-F238E27FC236}">
              <a16:creationId xmlns:a16="http://schemas.microsoft.com/office/drawing/2014/main" id="{2C9087BC-04BA-4E52-8215-2321F1CCDE23}"/>
            </a:ext>
          </a:extLst>
        </xdr:cNvPr>
        <xdr:cNvGrpSpPr/>
      </xdr:nvGrpSpPr>
      <xdr:grpSpPr>
        <a:xfrm rot="14294117">
          <a:off x="3659563" y="4318605"/>
          <a:ext cx="164771" cy="106053"/>
          <a:chOff x="4078687" y="2907502"/>
          <a:chExt cx="80544" cy="128391"/>
        </a:xfrm>
      </xdr:grpSpPr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A9DFF81C-E896-45DE-9909-12E42637DEF0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B5AF2243-45ED-4F3C-88DE-9E2E0879EF8A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50">
            <a:extLst>
              <a:ext uri="{FF2B5EF4-FFF2-40B4-BE49-F238E27FC236}">
                <a16:creationId xmlns:a16="http://schemas.microsoft.com/office/drawing/2014/main" id="{9ECA6A47-2A1E-45AD-B48B-31177EE9D5B6}"/>
              </a:ext>
            </a:extLst>
          </xdr:cNvPr>
          <xdr:cNvCxnSpPr/>
        </xdr:nvCxnSpPr>
        <xdr:spPr>
          <a:xfrm flipH="1" flipV="1">
            <a:off x="4095312" y="2907502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242ED25A-A5BF-407F-9556-993F60FD74FA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287888</xdr:colOff>
      <xdr:row>24</xdr:row>
      <xdr:rowOff>88518</xdr:rowOff>
    </xdr:from>
    <xdr:to>
      <xdr:col>11</xdr:col>
      <xdr:colOff>49464</xdr:colOff>
      <xdr:row>25</xdr:row>
      <xdr:rowOff>31917</xdr:rowOff>
    </xdr:to>
    <xdr:grpSp>
      <xdr:nvGrpSpPr>
        <xdr:cNvPr id="250" name="Group 249">
          <a:extLst>
            <a:ext uri="{FF2B5EF4-FFF2-40B4-BE49-F238E27FC236}">
              <a16:creationId xmlns:a16="http://schemas.microsoft.com/office/drawing/2014/main" id="{64B18B45-7841-4999-BCDE-F31BF874467A}"/>
            </a:ext>
          </a:extLst>
        </xdr:cNvPr>
        <xdr:cNvGrpSpPr/>
      </xdr:nvGrpSpPr>
      <xdr:grpSpPr>
        <a:xfrm rot="8375862">
          <a:off x="3650627" y="3716301"/>
          <a:ext cx="142576" cy="92486"/>
          <a:chOff x="4078687" y="2907502"/>
          <a:chExt cx="80544" cy="128391"/>
        </a:xfrm>
      </xdr:grpSpPr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55371417-9763-4B61-BC64-387FF8E08457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6D26E3D3-AF46-41D1-91D3-850EF478F77B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50">
            <a:extLst>
              <a:ext uri="{FF2B5EF4-FFF2-40B4-BE49-F238E27FC236}">
                <a16:creationId xmlns:a16="http://schemas.microsoft.com/office/drawing/2014/main" id="{B364AEE1-B41A-4913-BB38-9B8E9E2DAB1D}"/>
              </a:ext>
            </a:extLst>
          </xdr:cNvPr>
          <xdr:cNvCxnSpPr/>
        </xdr:nvCxnSpPr>
        <xdr:spPr>
          <a:xfrm flipH="1" flipV="1">
            <a:off x="4095312" y="2907502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D7F7EB68-48B7-46DA-ADDF-F8DFA5AE9B5F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340474</xdr:colOff>
      <xdr:row>24</xdr:row>
      <xdr:rowOff>94387</xdr:rowOff>
    </xdr:from>
    <xdr:to>
      <xdr:col>15</xdr:col>
      <xdr:colOff>77476</xdr:colOff>
      <xdr:row>25</xdr:row>
      <xdr:rowOff>55357</xdr:rowOff>
    </xdr:to>
    <xdr:grpSp>
      <xdr:nvGrpSpPr>
        <xdr:cNvPr id="255" name="Group 254">
          <a:extLst>
            <a:ext uri="{FF2B5EF4-FFF2-40B4-BE49-F238E27FC236}">
              <a16:creationId xmlns:a16="http://schemas.microsoft.com/office/drawing/2014/main" id="{7574A3DE-9D7B-4B9F-8AB4-F4E334FB21AB}"/>
            </a:ext>
          </a:extLst>
        </xdr:cNvPr>
        <xdr:cNvGrpSpPr/>
      </xdr:nvGrpSpPr>
      <xdr:grpSpPr>
        <a:xfrm rot="8375862">
          <a:off x="5227213" y="3722170"/>
          <a:ext cx="118002" cy="110057"/>
          <a:chOff x="4078687" y="2907502"/>
          <a:chExt cx="80544" cy="128391"/>
        </a:xfrm>
      </xdr:grpSpPr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53C1A719-02AA-43D9-A984-C5B7D62C6A16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99EA5F9A-D64D-4B5C-96C7-8EB67B2D2782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EDE17F95-2CAC-447B-85A2-A4D5A0F589AB}"/>
              </a:ext>
            </a:extLst>
          </xdr:cNvPr>
          <xdr:cNvCxnSpPr/>
        </xdr:nvCxnSpPr>
        <xdr:spPr>
          <a:xfrm flipH="1" flipV="1">
            <a:off x="4095312" y="2907502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D2E0C715-CEE0-41CB-8076-536C353F3C91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331622</xdr:colOff>
      <xdr:row>19</xdr:row>
      <xdr:rowOff>18328</xdr:rowOff>
    </xdr:from>
    <xdr:to>
      <xdr:col>15</xdr:col>
      <xdr:colOff>140803</xdr:colOff>
      <xdr:row>20</xdr:row>
      <xdr:rowOff>66261</xdr:rowOff>
    </xdr:to>
    <xdr:sp macro="" textlink="">
      <xdr:nvSpPr>
        <xdr:cNvPr id="260" name="Isosceles Triangle 259">
          <a:extLst>
            <a:ext uri="{FF2B5EF4-FFF2-40B4-BE49-F238E27FC236}">
              <a16:creationId xmlns:a16="http://schemas.microsoft.com/office/drawing/2014/main" id="{4E167F91-B873-4D5A-901E-1C770720CA53}"/>
            </a:ext>
          </a:extLst>
        </xdr:cNvPr>
        <xdr:cNvSpPr/>
      </xdr:nvSpPr>
      <xdr:spPr>
        <a:xfrm>
          <a:off x="5218361" y="2900676"/>
          <a:ext cx="190181" cy="19702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33131</xdr:colOff>
      <xdr:row>20</xdr:row>
      <xdr:rowOff>127370</xdr:rowOff>
    </xdr:from>
    <xdr:to>
      <xdr:col>14</xdr:col>
      <xdr:colOff>214838</xdr:colOff>
      <xdr:row>20</xdr:row>
      <xdr:rowOff>132522</xdr:rowOff>
    </xdr:to>
    <xdr:cxnSp macro="">
      <xdr:nvCxnSpPr>
        <xdr:cNvPr id="261" name="Straight Connector 260">
          <a:extLst>
            <a:ext uri="{FF2B5EF4-FFF2-40B4-BE49-F238E27FC236}">
              <a16:creationId xmlns:a16="http://schemas.microsoft.com/office/drawing/2014/main" id="{D575E201-09B8-48F0-8D9F-82111AAA35BD}"/>
            </a:ext>
          </a:extLst>
        </xdr:cNvPr>
        <xdr:cNvCxnSpPr>
          <a:endCxn id="237" idx="4"/>
        </xdr:cNvCxnSpPr>
      </xdr:nvCxnSpPr>
      <xdr:spPr>
        <a:xfrm flipV="1">
          <a:off x="2633870" y="3158805"/>
          <a:ext cx="2467707" cy="515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150532</xdr:colOff>
      <xdr:row>20</xdr:row>
      <xdr:rowOff>61062</xdr:rowOff>
    </xdr:from>
    <xdr:to>
      <xdr:col>14</xdr:col>
      <xdr:colOff>150361</xdr:colOff>
      <xdr:row>20</xdr:row>
      <xdr:rowOff>61381</xdr:rowOff>
    </xdr:to>
    <xdr:cxnSp macro="">
      <xdr:nvCxnSpPr>
        <xdr:cNvPr id="262" name="Straight Connector 261">
          <a:extLst>
            <a:ext uri="{FF2B5EF4-FFF2-40B4-BE49-F238E27FC236}">
              <a16:creationId xmlns:a16="http://schemas.microsoft.com/office/drawing/2014/main" id="{E04247D3-D846-457A-B1A8-765E772BC576}"/>
            </a:ext>
          </a:extLst>
        </xdr:cNvPr>
        <xdr:cNvCxnSpPr>
          <a:stCxn id="233" idx="6"/>
          <a:endCxn id="237" idx="2"/>
        </xdr:cNvCxnSpPr>
      </xdr:nvCxnSpPr>
      <xdr:spPr>
        <a:xfrm flipV="1">
          <a:off x="3513271" y="3092497"/>
          <a:ext cx="1523829" cy="31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13418</xdr:colOff>
      <xdr:row>20</xdr:row>
      <xdr:rowOff>77561</xdr:rowOff>
    </xdr:from>
    <xdr:to>
      <xdr:col>13</xdr:col>
      <xdr:colOff>161997</xdr:colOff>
      <xdr:row>21</xdr:row>
      <xdr:rowOff>21608</xdr:rowOff>
    </xdr:to>
    <xdr:grpSp>
      <xdr:nvGrpSpPr>
        <xdr:cNvPr id="263" name="Group 262">
          <a:extLst>
            <a:ext uri="{FF2B5EF4-FFF2-40B4-BE49-F238E27FC236}">
              <a16:creationId xmlns:a16="http://schemas.microsoft.com/office/drawing/2014/main" id="{8F86D601-3F39-4A82-B1EF-52603CD8B0F0}"/>
            </a:ext>
          </a:extLst>
        </xdr:cNvPr>
        <xdr:cNvGrpSpPr/>
      </xdr:nvGrpSpPr>
      <xdr:grpSpPr>
        <a:xfrm rot="5053804">
          <a:off x="4546880" y="3081273"/>
          <a:ext cx="93134" cy="148579"/>
          <a:chOff x="4078687" y="2907502"/>
          <a:chExt cx="80544" cy="128391"/>
        </a:xfrm>
      </xdr:grpSpPr>
      <xdr:cxnSp macro="">
        <xdr:nvCxnSpPr>
          <xdr:cNvPr id="264" name="Straight Connector 263">
            <a:extLst>
              <a:ext uri="{FF2B5EF4-FFF2-40B4-BE49-F238E27FC236}">
                <a16:creationId xmlns:a16="http://schemas.microsoft.com/office/drawing/2014/main" id="{11EAEBE0-EA4D-4927-A266-068E12D55EF9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264">
            <a:extLst>
              <a:ext uri="{FF2B5EF4-FFF2-40B4-BE49-F238E27FC236}">
                <a16:creationId xmlns:a16="http://schemas.microsoft.com/office/drawing/2014/main" id="{57EB983D-8D46-491C-9CEB-26F4EBB69517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BC38B8E2-4366-410B-BBD9-4FCB749BE2BA}"/>
              </a:ext>
            </a:extLst>
          </xdr:cNvPr>
          <xdr:cNvCxnSpPr/>
        </xdr:nvCxnSpPr>
        <xdr:spPr>
          <a:xfrm flipH="1" flipV="1">
            <a:off x="4095312" y="2907502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919E1A01-69D0-4913-9CB4-EF89DBB63C8E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48153</xdr:colOff>
      <xdr:row>22</xdr:row>
      <xdr:rowOff>41414</xdr:rowOff>
    </xdr:from>
    <xdr:to>
      <xdr:col>14</xdr:col>
      <xdr:colOff>124239</xdr:colOff>
      <xdr:row>25</xdr:row>
      <xdr:rowOff>100291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FE6930C6-17EE-47EB-9CA8-C7E6864F7631}"/>
            </a:ext>
          </a:extLst>
        </xdr:cNvPr>
        <xdr:cNvSpPr/>
      </xdr:nvSpPr>
      <xdr:spPr>
        <a:xfrm>
          <a:off x="4172892" y="3371023"/>
          <a:ext cx="838086" cy="50613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chemeClr val="accent1"/>
              </a:solidFill>
            </a:rPr>
            <a:t>ALFAMART</a:t>
          </a:r>
        </a:p>
      </xdr:txBody>
    </xdr:sp>
    <xdr:clientData/>
  </xdr:twoCellAnchor>
  <xdr:twoCellAnchor>
    <xdr:from>
      <xdr:col>14</xdr:col>
      <xdr:colOff>124239</xdr:colOff>
      <xdr:row>20</xdr:row>
      <xdr:rowOff>107949</xdr:rowOff>
    </xdr:from>
    <xdr:to>
      <xdr:col>14</xdr:col>
      <xdr:colOff>169246</xdr:colOff>
      <xdr:row>23</xdr:row>
      <xdr:rowOff>145396</xdr:rowOff>
    </xdr:to>
    <xdr:cxnSp macro="">
      <xdr:nvCxnSpPr>
        <xdr:cNvPr id="269" name="Straight Connector 268">
          <a:extLst>
            <a:ext uri="{FF2B5EF4-FFF2-40B4-BE49-F238E27FC236}">
              <a16:creationId xmlns:a16="http://schemas.microsoft.com/office/drawing/2014/main" id="{92F2BDB0-FCE4-40E8-85D6-A604450AA035}"/>
            </a:ext>
          </a:extLst>
        </xdr:cNvPr>
        <xdr:cNvCxnSpPr>
          <a:stCxn id="268" idx="3"/>
          <a:endCxn id="237" idx="3"/>
        </xdr:cNvCxnSpPr>
      </xdr:nvCxnSpPr>
      <xdr:spPr>
        <a:xfrm flipV="1">
          <a:off x="5010978" y="3139384"/>
          <a:ext cx="45007" cy="48470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150357</xdr:colOff>
      <xdr:row>25</xdr:row>
      <xdr:rowOff>107673</xdr:rowOff>
    </xdr:from>
    <xdr:to>
      <xdr:col>18</xdr:col>
      <xdr:colOff>33131</xdr:colOff>
      <xdr:row>30</xdr:row>
      <xdr:rowOff>49695</xdr:rowOff>
    </xdr:to>
    <xdr:sp macro="" textlink="">
      <xdr:nvSpPr>
        <xdr:cNvPr id="270" name="Rectangle 269">
          <a:extLst>
            <a:ext uri="{FF2B5EF4-FFF2-40B4-BE49-F238E27FC236}">
              <a16:creationId xmlns:a16="http://schemas.microsoft.com/office/drawing/2014/main" id="{DEFE5F15-D2A4-4E90-937D-0C597A11E412}"/>
            </a:ext>
          </a:extLst>
        </xdr:cNvPr>
        <xdr:cNvSpPr/>
      </xdr:nvSpPr>
      <xdr:spPr>
        <a:xfrm>
          <a:off x="5799096" y="3884543"/>
          <a:ext cx="644774" cy="679174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chemeClr val="accent1"/>
              </a:solidFill>
            </a:rPr>
            <a:t>SELEP</a:t>
          </a:r>
        </a:p>
      </xdr:txBody>
    </xdr:sp>
    <xdr:clientData/>
  </xdr:twoCellAnchor>
  <xdr:twoCellAnchor>
    <xdr:from>
      <xdr:col>8</xdr:col>
      <xdr:colOff>240196</xdr:colOff>
      <xdr:row>20</xdr:row>
      <xdr:rowOff>99390</xdr:rowOff>
    </xdr:from>
    <xdr:to>
      <xdr:col>9</xdr:col>
      <xdr:colOff>7775</xdr:colOff>
      <xdr:row>21</xdr:row>
      <xdr:rowOff>43437</xdr:rowOff>
    </xdr:to>
    <xdr:grpSp>
      <xdr:nvGrpSpPr>
        <xdr:cNvPr id="271" name="Group 270">
          <a:extLst>
            <a:ext uri="{FF2B5EF4-FFF2-40B4-BE49-F238E27FC236}">
              <a16:creationId xmlns:a16="http://schemas.microsoft.com/office/drawing/2014/main" id="{9BA0C987-1466-46A0-B423-091639A2112E}"/>
            </a:ext>
          </a:extLst>
        </xdr:cNvPr>
        <xdr:cNvGrpSpPr/>
      </xdr:nvGrpSpPr>
      <xdr:grpSpPr>
        <a:xfrm rot="5053804">
          <a:off x="2868658" y="3103102"/>
          <a:ext cx="93134" cy="148579"/>
          <a:chOff x="4078687" y="2907502"/>
          <a:chExt cx="80544" cy="128391"/>
        </a:xfrm>
      </xdr:grpSpPr>
      <xdr:cxnSp macro="">
        <xdr:nvCxnSpPr>
          <xdr:cNvPr id="272" name="Straight Connector 271">
            <a:extLst>
              <a:ext uri="{FF2B5EF4-FFF2-40B4-BE49-F238E27FC236}">
                <a16:creationId xmlns:a16="http://schemas.microsoft.com/office/drawing/2014/main" id="{BAFCDD12-C4F9-4B05-B402-7743F03E2E5B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Straight Connector 272">
            <a:extLst>
              <a:ext uri="{FF2B5EF4-FFF2-40B4-BE49-F238E27FC236}">
                <a16:creationId xmlns:a16="http://schemas.microsoft.com/office/drawing/2014/main" id="{ED6BCD68-DB20-4A49-B774-85FA5C52A727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273">
            <a:extLst>
              <a:ext uri="{FF2B5EF4-FFF2-40B4-BE49-F238E27FC236}">
                <a16:creationId xmlns:a16="http://schemas.microsoft.com/office/drawing/2014/main" id="{CF224C9F-4A9C-4D47-BE25-9999C81DEB13}"/>
              </a:ext>
            </a:extLst>
          </xdr:cNvPr>
          <xdr:cNvCxnSpPr/>
        </xdr:nvCxnSpPr>
        <xdr:spPr>
          <a:xfrm flipH="1" flipV="1">
            <a:off x="4095312" y="2907502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Connector 274">
            <a:extLst>
              <a:ext uri="{FF2B5EF4-FFF2-40B4-BE49-F238E27FC236}">
                <a16:creationId xmlns:a16="http://schemas.microsoft.com/office/drawing/2014/main" id="{AB68188B-FD6F-4839-A193-F29C40106332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Documents%20and%20Settings/Budyanto/My%20Documents/Form%20Distribusi%202006/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3.%20DATA%20AREA%20DEMAK/4.%20SPK/2.%20LELANG%202017%20-%20133/1.%20RAB%20JUN%20-%20JUL%202017/1.%20TEGOWANU/2.%20SUDAH%20DIPERIKSA/8/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dika/AppData/Roaming/Microsoft/Excel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GURUH/MONITORING/HAR/PFK/BP-RAB/tawar%20Oke%20Kertasari/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4" t="s">
        <v>1134</v>
      </c>
      <c r="C4" s="524"/>
      <c r="D4" s="524"/>
      <c r="E4" s="524"/>
      <c r="F4" s="524"/>
      <c r="G4" s="524"/>
      <c r="H4" s="52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5" t="s">
        <v>0</v>
      </c>
      <c r="C7" s="525" t="s">
        <v>1</v>
      </c>
      <c r="D7" s="526" t="s">
        <v>42</v>
      </c>
      <c r="E7" s="526" t="s">
        <v>43</v>
      </c>
      <c r="F7" s="526" t="s">
        <v>1135</v>
      </c>
      <c r="G7" s="527" t="s">
        <v>41</v>
      </c>
      <c r="H7" s="523" t="s">
        <v>1042</v>
      </c>
      <c r="I7" s="523" t="s">
        <v>1137</v>
      </c>
      <c r="J7" s="523" t="s">
        <v>1026</v>
      </c>
      <c r="K7" s="517" t="s">
        <v>1024</v>
      </c>
      <c r="L7" s="518"/>
    </row>
    <row r="8" spans="1:12" ht="15" customHeight="1">
      <c r="B8" s="525"/>
      <c r="C8" s="525"/>
      <c r="D8" s="526"/>
      <c r="E8" s="526"/>
      <c r="F8" s="526"/>
      <c r="G8" s="527"/>
      <c r="H8" s="523"/>
      <c r="I8" s="523"/>
      <c r="J8" s="523"/>
      <c r="K8" s="519"/>
      <c r="L8" s="520"/>
    </row>
    <row r="9" spans="1:12" ht="15" customHeight="1">
      <c r="B9" s="525"/>
      <c r="C9" s="525"/>
      <c r="D9" s="526"/>
      <c r="E9" s="526"/>
      <c r="F9" s="526"/>
      <c r="G9" s="527"/>
      <c r="H9" s="523"/>
      <c r="I9" s="523"/>
      <c r="J9" s="523"/>
      <c r="K9" s="521"/>
      <c r="L9" s="52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3 Fasa 16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172800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LVCB 2 Jurusan 250 A LBS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9994500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NFA2X-T 3x70+1x70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30</v>
      </c>
      <c r="G15" s="41">
        <f ca="1">IF(ISERROR(OFFSET('HARGA SATUAN'!$I$6,MATCH(C15,'HARGA SATUAN'!$C$7:$C$1492,0),0)),"",OFFSET('HARGA SATUAN'!$I$6,MATCH(C15,'HARGA SATUAN'!$C$7:$C$1492,0),0))</f>
        <v>54500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 4 x 16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20</v>
      </c>
      <c r="G16" s="41">
        <f ca="1">IF(ISERROR(OFFSET('HARGA SATUAN'!$I$6,MATCH(C16,'HARGA SATUAN'!$C$7:$C$1492,0),0)),"",OFFSET('HARGA SATUAN'!$I$6,MATCH(C16,'HARGA SATUAN'!$C$7:$C$1492,0),0))</f>
        <v>13500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SUMIFS(RAB!$F$14:$F$64,RAB!$C$14:$C$64,C714)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SUMIFS(RAB!$F$14:$F$64,RAB!$C$14:$C$64,C715)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SUMIFS(RAB!$F$14:$F$64,RAB!$C$14:$C$64,C716)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SUMIFS(RAB!$F$14:$F$64,RAB!$C$14:$C$64,C717)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SUMIFS(RAB!$F$14:$F$64,RAB!$C$14:$C$64,C718)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SUMIFS(RAB!$F$14:$F$64,RAB!$C$14:$C$64,C719)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SUMIFS(RAB!$F$14:$F$64,RAB!$C$14:$C$64,C720)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SUMIFS(RAB!$F$14:$F$64,RAB!$C$14:$C$64,C721)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SUMIFS(RAB!$F$14:$F$64,RAB!$C$14:$C$64,C722)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SUMIFS(RAB!$F$14:$F$64,RAB!$C$14:$C$64,C723)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SUMIFS(RAB!$F$14:$F$64,RAB!$C$14:$C$64,C724)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SUMIFS(RAB!$F$14:$F$64,RAB!$C$14:$C$64,C725)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SUMIFS(RAB!$F$14:$F$64,RAB!$C$14:$C$64,C726)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SUMIFS(RAB!$F$14:$F$64,RAB!$C$14:$C$64,C727)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SUMIFS(RAB!$F$14:$F$64,RAB!$C$14:$C$64,C728)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SUMIFS(RAB!$F$14:$F$64,RAB!$C$14:$C$64,C729)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SUMIFS(RAB!$F$14:$F$64,RAB!$C$14:$C$64,C730)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SUMIFS(RAB!$F$14:$F$64,RAB!$C$14:$C$64,C731)</f>
        <v>1</v>
      </c>
      <c r="E731" s="26">
        <f t="shared" ca="1" si="33"/>
        <v>1</v>
      </c>
      <c r="F731" s="26">
        <f ca="1">IF(D731=0,0,SUM($E$713:E731))</f>
        <v>2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SUMIFS(RAB!$F$14:$F$64,RAB!$C$14:$C$64,C732)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SUMIFS(RAB!$F$14:$F$64,RAB!$C$14:$C$64,C733)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SUMIFS(RAB!$F$14:$F$64,RAB!$C$14:$C$64,C734)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SUMIFS(RAB!$F$14:$F$64,RAB!$C$14:$C$64,C735)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SUMIFS(RAB!$F$14:$F$64,RAB!$C$14:$C$64,C736)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SUMIFS(RAB!$F$14:$F$64,RAB!$C$14:$C$64,C737)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SUMIFS(RAB!$F$14:$F$64,RAB!$C$14:$C$64,C738)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SUMIFS(RAB!$F$14:$F$64,RAB!$C$14:$C$64,C739)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SUMIFS(RAB!$F$14:$F$64,RAB!$C$14:$C$64,C740)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SUMIFS(RAB!$F$14:$F$64,RAB!$C$14:$C$64,C741)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SUMIFS(RAB!$F$14:$F$64,RAB!$C$14:$C$64,C742)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SUMIFS(RAB!$F$14:$F$64,RAB!$C$14:$C$64,C743)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SUMIFS(RAB!$F$14:$F$64,RAB!$C$14:$C$64,C744)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SUMIFS(RAB!$F$14:$F$64,RAB!$C$14:$C$64,C745)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SUMIFS(RAB!$F$14:$F$64,RAB!$C$14:$C$64,C746)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SUMIFS(RAB!$F$14:$F$64,RAB!$C$14:$C$64,C747)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SUMIFS(RAB!$F$14:$F$64,RAB!$C$14:$C$64,C748)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SUMIFS(RAB!$F$14:$F$64,RAB!$C$14:$C$64,C749)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SUMIFS(RAB!$F$14:$F$64,RAB!$C$14:$C$64,C750)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SUMIFS(RAB!$F$14:$F$64,RAB!$C$14:$C$64,C751)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SUMIFS(RAB!$F$14:$F$64,RAB!$C$14:$C$64,C752)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SUMIFS(RAB!$F$14:$F$64,RAB!$C$14:$C$64,C753)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SUMIFS(RAB!$F$14:$F$64,RAB!$C$14:$C$64,C754)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SUMIFS(RAB!$F$14:$F$64,RAB!$C$14:$C$64,C755)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SUMIFS(RAB!$F$14:$F$64,RAB!$C$14:$C$64,C756)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SUMIFS(RAB!$F$14:$F$64,RAB!$C$14:$C$64,C757)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SUMIFS(RAB!$F$14:$F$64,RAB!$C$14:$C$64,C758)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SUMIFS(RAB!$F$14:$F$64,RAB!$C$14:$C$64,C759)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SUMIFS(RAB!$F$14:$F$64,RAB!$C$14:$C$64,C760)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SUMIFS(RAB!$F$14:$F$64,RAB!$C$14:$C$64,C761)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SUMIFS(RAB!$F$14:$F$64,RAB!$C$14:$C$64,C762)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SUMIFS(RAB!$F$14:$F$64,RAB!$C$14:$C$64,C763)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SUMIFS(RAB!$F$14:$F$64,RAB!$C$14:$C$64,C764)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SUMIFS(RAB!$F$14:$F$64,RAB!$C$14:$C$64,C765)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SUMIFS(RAB!$F$14:$F$64,RAB!$C$14:$C$64,C766)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SUMIFS(RAB!$F$14:$F$64,RAB!$C$14:$C$64,C767)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SUMIFS(RAB!$F$14:$F$64,RAB!$C$14:$C$64,C768)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SUMIFS(RAB!$F$14:$F$64,RAB!$C$14:$C$64,C769)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SUMIFS(RAB!$F$14:$F$64,RAB!$C$14:$C$64,C770)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SUMIFS(RAB!$F$14:$F$64,RAB!$C$14:$C$64,C771)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SUMIFS(RAB!$F$14:$F$64,RAB!$C$14:$C$64,C772)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SUMIFS(RAB!$F$14:$F$64,RAB!$C$14:$C$64,C773)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SUMIFS(RAB!$F$14:$F$64,RAB!$C$14:$C$64,C774)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SUMIFS(RAB!$F$14:$F$64,RAB!$C$14:$C$64,C775)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SUMIFS(RAB!$F$14:$F$64,RAB!$C$14:$C$64,C776)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SUMIFS(RAB!$F$14:$F$64,RAB!$C$14:$C$64,C777)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SUMIFS(RAB!$F$14:$F$64,RAB!$C$14:$C$64,C778)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SUMIFS(RAB!$F$14:$F$64,RAB!$C$14:$C$64,C779)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SUMIFS(RAB!$F$14:$F$64,RAB!$C$14:$C$64,C780)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SUMIFS(RAB!$F$14:$F$64,RAB!$C$14:$C$64,C781)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SUMIFS(RAB!$F$14:$F$64,RAB!$C$14:$C$64,C782)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SUMIFS(RAB!$F$14:$F$64,RAB!$C$14:$C$64,C783)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SUMIFS(RAB!$F$14:$F$64,RAB!$C$14:$C$64,C784)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SUMIFS(RAB!$F$14:$F$64,RAB!$C$14:$C$64,C785)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SUMIFS(RAB!$F$14:$F$64,RAB!$C$14:$C$64,C786)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SUMIFS(RAB!$F$14:$F$64,RAB!$C$14:$C$64,C787)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SUMIFS(RAB!$F$14:$F$64,RAB!$C$14:$C$64,C788)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SUMIFS(RAB!$F$14:$F$64,RAB!$C$14:$C$64,C789)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SUMIFS(RAB!$F$14:$F$64,RAB!$C$14:$C$64,C790)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SUMIFS(RAB!$F$14:$F$64,RAB!$C$14:$C$64,C791)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SUMIFS(RAB!$F$14:$F$64,RAB!$C$14:$C$64,C792)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SUMIFS(RAB!$F$14:$F$64,RAB!$C$14:$C$64,C793)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SUMIFS(RAB!$F$14:$F$64,RAB!$C$14:$C$64,C794)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SUMIFS(RAB!$F$14:$F$64,RAB!$C$14:$C$64,C795)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SUMIFS(RAB!$F$14:$F$64,RAB!$C$14:$C$64,C796)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SUMIFS(RAB!$F$14:$F$64,RAB!$C$14:$C$64,C797)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SUMIFS(RAB!$F$14:$F$64,RAB!$C$14:$C$64,C798)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SUMIFS(RAB!$F$14:$F$64,RAB!$C$14:$C$64,C799)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SUMIFS(RAB!$F$14:$F$64,RAB!$C$14:$C$64,C800)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SUMIFS(RAB!$F$14:$F$64,RAB!$C$14:$C$64,C801)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SUMIFS(RAB!$F$14:$F$64,RAB!$C$14:$C$64,C802)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SUMIFS(RAB!$F$14:$F$64,RAB!$C$14:$C$64,C803)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SUMIFS(RAB!$F$14:$F$64,RAB!$C$14:$C$64,C804)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SUMIFS(RAB!$F$14:$F$64,RAB!$C$14:$C$64,C805)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SUMIFS(RAB!$F$14:$F$64,RAB!$C$14:$C$64,C806)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SUMIFS(RAB!$F$14:$F$64,RAB!$C$14:$C$64,C807)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SUMIFS(RAB!$F$14:$F$64,RAB!$C$14:$C$64,C808)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SUMIFS(RAB!$F$14:$F$64,RAB!$C$14:$C$64,C809)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SUMIFS(RAB!$F$14:$F$64,RAB!$C$14:$C$64,C810)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SUMIFS(RAB!$F$14:$F$64,RAB!$C$14:$C$64,C811)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SUMIFS(RAB!$F$14:$F$64,RAB!$C$14:$C$64,C812)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SUMIFS(RAB!$F$14:$F$64,RAB!$C$14:$C$64,C813)</f>
        <v>1</v>
      </c>
      <c r="E813" s="26">
        <f t="shared" ca="1" si="34"/>
        <v>1</v>
      </c>
      <c r="F813" s="26">
        <f ca="1">IF(D813=0,0,SUM($E$713:E813))</f>
        <v>3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SUMIFS(RAB!$F$14:$F$64,RAB!$C$14:$C$64,C814)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SUMIFS(RAB!$F$14:$F$64,RAB!$C$14:$C$64,C815)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SUMIFS(RAB!$F$14:$F$64,RAB!$C$14:$C$64,C816)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SUMIFS(RAB!$F$14:$F$64,RAB!$C$14:$C$64,C817)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SUMIFS(RAB!$F$14:$F$64,RAB!$C$14:$C$64,C818)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SUMIFS(RAB!$F$14:$F$64,RAB!$C$14:$C$64,C819)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SUMIFS(RAB!$F$14:$F$64,RAB!$C$14:$C$64,C820)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SUMIFS(RAB!$F$14:$F$64,RAB!$C$14:$C$64,C821)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SUMIFS(RAB!$F$14:$F$64,RAB!$C$14:$C$64,C822)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SUMIFS(RAB!$F$14:$F$64,RAB!$C$14:$C$64,C823)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SUMIFS(RAB!$F$14:$F$64,RAB!$C$14:$C$64,C824)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SUMIFS(RAB!$F$14:$F$64,RAB!$C$14:$C$64,C825)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SUMIFS(RAB!$F$14:$F$64,RAB!$C$14:$C$64,C826)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SUMIFS(RAB!$F$14:$F$64,RAB!$C$14:$C$64,C827)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SUMIFS(RAB!$F$14:$F$64,RAB!$C$14:$C$64,C828)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SUMIFS(RAB!$F$14:$F$64,RAB!$C$14:$C$64,C829)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SUMIFS(RAB!$F$14:$F$64,RAB!$C$14:$C$64,C830)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SUMIFS(RAB!$F$14:$F$64,RAB!$C$14:$C$64,C831)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SUMIFS(RAB!$F$14:$F$64,RAB!$C$14:$C$64,C832)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SUMIFS(RAB!$F$14:$F$64,RAB!$C$14:$C$64,C833)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SUMIFS(RAB!$F$14:$F$64,RAB!$C$14:$C$64,C834)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SUMIFS(RAB!$F$14:$F$64,RAB!$C$14:$C$64,C835)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SUMIFS(RAB!$F$14:$F$64,RAB!$C$14:$C$64,C836)</f>
        <v>30</v>
      </c>
      <c r="E836" s="26">
        <f t="shared" ca="1" si="34"/>
        <v>1</v>
      </c>
      <c r="F836" s="26">
        <f ca="1">IF(D836=0,0,SUM($E$713:E836))</f>
        <v>4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SUMIFS(RAB!$F$14:$F$64,RAB!$C$14:$C$64,C837)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SUMIFS(RAB!$F$14:$F$64,RAB!$C$14:$C$64,C838)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SUMIFS(RAB!$F$14:$F$64,RAB!$C$14:$C$64,C839)</f>
        <v>20</v>
      </c>
      <c r="E839" s="26">
        <f t="shared" ca="1" si="34"/>
        <v>1</v>
      </c>
      <c r="F839" s="26">
        <f ca="1">IF(D839=0,0,SUM($E$713:E839))</f>
        <v>5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SUMIFS(RAB!$F$14:$F$64,RAB!$C$14:$C$64,C840)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SUMIFS(RAB!$F$14:$F$64,RAB!$C$14:$C$64,C841)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SUMIFS(RAB!$F$14:$F$64,RAB!$C$14:$C$64,C842)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SUMIFS(RAB!$F$14:$F$64,RAB!$C$14:$C$64,C843)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SUMIFS(RAB!$F$14:$F$64,RAB!$C$14:$C$64,C844)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SUMIFS(RAB!$F$14:$F$64,RAB!$C$14:$C$64,C845)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SUMIFS(RAB!$F$14:$F$64,RAB!$C$14:$C$64,C846)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SUMIFS(RAB!$F$14:$F$64,RAB!$C$14:$C$64,C847)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SUMIFS(RAB!$F$14:$F$64,RAB!$C$14:$C$64,C848)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SUMIFS(RAB!$F$14:$F$64,RAB!$C$14:$C$64,C849)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SUMIFS(RAB!$F$14:$F$64,RAB!$C$14:$C$64,C850)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SUMIFS(RAB!$F$14:$F$64,RAB!$C$14:$C$64,C851)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SUMIFS(RAB!$F$14:$F$64,RAB!$C$14:$C$64,C852)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SUMIFS(RAB!$F$14:$F$64,RAB!$C$14:$C$64,C853)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SUMIFS(RAB!$F$14:$F$64,RAB!$C$14:$C$64,C854)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SUMIFS(RAB!$F$14:$F$64,RAB!$C$14:$C$64,C855)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SUMIFS(RAB!$F$14:$F$64,RAB!$C$14:$C$64,C856)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SUMIFS(RAB!$F$14:$F$64,RAB!$C$14:$C$64,C857)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SUMIFS(RAB!$F$14:$F$64,RAB!$C$14:$C$64,C858)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SUMIFS(RAB!$F$14:$F$64,RAB!$C$14:$C$64,C859)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SUMIFS(RAB!$F$14:$F$64,RAB!$C$14:$C$64,C860)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SUMIFS(RAB!$F$14:$F$64,RAB!$C$14:$C$64,C861)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SUMIFS(RAB!$F$14:$F$64,RAB!$C$14:$C$64,C862)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SUMIFS(RAB!$F$14:$F$64,RAB!$C$14:$C$64,C863)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SUMIFS(RAB!$F$14:$F$64,RAB!$C$14:$C$64,C864)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SUMIFS(RAB!$F$14:$F$64,RAB!$C$14:$C$64,C865)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SUMIFS(RAB!$F$14:$F$64,RAB!$C$14:$C$64,C866)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SUMIFS(RAB!$F$14:$F$64,RAB!$C$14:$C$64,C867)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SUMIFS(RAB!$F$14:$F$64,RAB!$C$14:$C$64,C868)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SUMIFS(RAB!$F$14:$F$64,RAB!$C$14:$C$64,C869)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SUMIFS(RAB!$F$14:$F$64,RAB!$C$14:$C$64,C870)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SUMIFS(RAB!$F$14:$F$64,RAB!$C$14:$C$64,C871)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SUMIFS(RAB!$F$14:$F$64,RAB!$C$14:$C$64,C872)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SUMIFS(RAB!$F$14:$F$64,RAB!$C$14:$C$64,C873)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SUMIFS(RAB!$F$14:$F$64,RAB!$C$14:$C$64,C874)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SUMIFS(RAB!$F$14:$F$64,RAB!$C$14:$C$64,C875)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SUMIFS(RAB!$F$14:$F$64,RAB!$C$14:$C$64,C876)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SUMIFS(RAB!$F$14:$F$64,RAB!$C$14:$C$64,C877)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SUMIFS(RAB!$F$14:$F$64,RAB!$C$14:$C$64,C878)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SUMIFS(RAB!$F$14:$F$64,RAB!$C$14:$C$64,C879)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SUMIFS(RAB!$F$14:$F$64,RAB!$C$14:$C$64,C880)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SUMIFS(RAB!$F$14:$F$64,RAB!$C$14:$C$64,C881)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SUMIFS(RAB!$F$14:$F$64,RAB!$C$14:$C$64,C882)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SUMIFS(RAB!$F$14:$F$64,RAB!$C$14:$C$64,C883)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SUMIFS(RAB!$F$14:$F$64,RAB!$C$14:$C$64,C884)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SUMIFS(RAB!$F$14:$F$64,RAB!$C$14:$C$64,C885)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SUMIFS(RAB!$F$14:$F$64,RAB!$C$14:$C$64,C886)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SUMIFS(RAB!$F$14:$F$64,RAB!$C$14:$C$64,C887)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SUMIFS(RAB!$F$14:$F$64,RAB!$C$14:$C$64,C888)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SUMIFS(RAB!$F$14:$F$64,RAB!$C$14:$C$64,C889)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SUMIFS(RAB!$F$14:$F$64,RAB!$C$14:$C$64,C890)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SUMIFS(RAB!$F$14:$F$64,RAB!$C$14:$C$64,C891)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SUMIFS(RAB!$F$14:$F$64,RAB!$C$14:$C$64,C892)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SUMIFS(RAB!$F$14:$F$64,RAB!$C$14:$C$64,C893)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SUMIFS(RAB!$F$14:$F$64,RAB!$C$14:$C$64,C894)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SUMIFS(RAB!$F$14:$F$64,RAB!$C$14:$C$64,C895)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SUMIFS(RAB!$F$14:$F$64,RAB!$C$14:$C$64,C896)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SUMIFS(RAB!$F$14:$F$64,RAB!$C$14:$C$64,C897)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SUMIFS(RAB!$F$14:$F$64,RAB!$C$14:$C$64,C898)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SUMIFS(RAB!$F$14:$F$64,RAB!$C$14:$C$64,C899)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SUMIFS(RAB!$F$14:$F$64,RAB!$C$14:$C$64,C900)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SUMIFS(RAB!$F$14:$F$64,RAB!$C$14:$C$64,C901)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SUMIFS(RAB!$F$14:$F$64,RAB!$C$14:$C$64,C902)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SUMIFS(RAB!$F$14:$F$64,RAB!$C$14:$C$64,C903)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SUMIFS(RAB!$F$14:$F$64,RAB!$C$14:$C$64,C904)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SUMIFS(RAB!$F$14:$F$64,RAB!$C$14:$C$64,C905)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SUMIFS(RAB!$F$14:$F$64,RAB!$C$14:$C$64,C906)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SUMIFS(RAB!$F$14:$F$64,RAB!$C$14:$C$64,C907)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SUMIFS(RAB!$F$14:$F$64,RAB!$C$14:$C$64,C908)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SUMIFS(RAB!$F$14:$F$64,RAB!$C$14:$C$64,C909)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SUMIFS(RAB!$F$14:$F$64,RAB!$C$14:$C$64,C910)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SUMIFS(RAB!$F$14:$F$64,RAB!$C$14:$C$64,C911)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SUMIFS(RAB!$F$14:$F$64,RAB!$C$14:$C$64,C912)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SUMIFS(RAB!$F$14:$F$64,RAB!$C$14:$C$64,C913)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SUMIFS(RAB!$F$14:$F$64,RAB!$C$14:$C$64,C914)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SUMIFS(RAB!$F$14:$F$64,RAB!$C$14:$C$64,C915)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SUMIFS(RAB!$F$14:$F$64,RAB!$C$14:$C$64,C916)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SUMIFS(RAB!$F$14:$F$64,RAB!$C$14:$C$64,C917)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SUMIFS(RAB!$F$14:$F$64,RAB!$C$14:$C$64,C918)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SUMIFS(RAB!$F$14:$F$64,RAB!$C$14:$C$64,C919)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SUMIFS(RAB!$F$14:$F$64,RAB!$C$14:$C$64,C920)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SUMIFS(RAB!$F$14:$F$64,RAB!$C$14:$C$64,C921)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SUMIFS(RAB!$F$14:$F$64,RAB!$C$14:$C$64,C922)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SUMIFS(RAB!$F$14:$F$64,RAB!$C$14:$C$64,C923)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SUMIFS(RAB!$F$14:$F$64,RAB!$C$14:$C$64,C924)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SUMIFS(RAB!$F$14:$F$64,RAB!$C$14:$C$64,C925)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SUMIFS(RAB!$F$14:$F$64,RAB!$C$14:$C$64,C926)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SUMIFS(RAB!$F$14:$F$64,RAB!$C$14:$C$64,C927)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SUMIFS(RAB!$F$14:$F$64,RAB!$C$14:$C$64,C928)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SUMIFS(RAB!$F$14:$F$64,RAB!$C$14:$C$64,C929)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SUMIFS(RAB!$F$14:$F$64,RAB!$C$14:$C$64,C930)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SUMIFS(RAB!$F$14:$F$64,RAB!$C$14:$C$64,C931)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SUMIFS(RAB!$F$14:$F$64,RAB!$C$14:$C$64,C932)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SUMIFS(RAB!$F$14:$F$64,RAB!$C$14:$C$64,C933)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SUMIFS(RAB!$F$14:$F$64,RAB!$C$14:$C$64,C934)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SUMIFS(RAB!$F$14:$F$64,RAB!$C$14:$C$64,C935)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SUMIFS(RAB!$F$14:$F$64,RAB!$C$14:$C$64,C936)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SUMIFS(RAB!$F$14:$F$64,RAB!$C$14:$C$64,C937)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SUMIFS(RAB!$F$14:$F$64,RAB!$C$14:$C$64,C938)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SUMIFS(RAB!$F$14:$F$64,RAB!$C$14:$C$64,C939)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SUMIFS(RAB!$F$14:$F$64,RAB!$C$14:$C$64,C940)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SUMIFS(RAB!$F$14:$F$64,RAB!$C$14:$C$64,C941)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SUMIFS(RAB!$F$14:$F$64,RAB!$C$14:$C$64,C942)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SUMIFS(RAB!$F$14:$F$64,RAB!$C$14:$C$64,C943)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SUMIFS(RAB!$F$14:$F$64,RAB!$C$14:$C$64,C944)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SUMIFS(RAB!$F$14:$F$64,RAB!$C$14:$C$64,C945)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SUMIFS(RAB!$F$14:$F$64,RAB!$C$14:$C$64,C946)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SUMIFS(RAB!$F$14:$F$64,RAB!$C$14:$C$64,C947)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SUMIFS(RAB!$F$14:$F$64,RAB!$C$14:$C$64,C948)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SUMIFS(RAB!$F$14:$F$64,RAB!$C$14:$C$64,C949)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SUMIFS(RAB!$F$14:$F$64,RAB!$C$14:$C$64,C950)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SUMIFS(RAB!$F$14:$F$64,RAB!$C$14:$C$64,C951)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SUMIFS(RAB!$F$14:$F$64,RAB!$C$14:$C$64,C952)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SUMIFS(RAB!$F$14:$F$64,RAB!$C$14:$C$64,C953)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SUMIFS(RAB!$F$14:$F$64,RAB!$C$14:$C$64,C954)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SUMIFS(RAB!$F$14:$F$64,RAB!$C$14:$C$64,C955)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SUMIFS(RAB!$F$14:$F$64,RAB!$C$14:$C$64,C956)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SUMIFS(RAB!$F$14:$F$64,RAB!$C$14:$C$64,C957)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SUMIFS(RAB!$F$14:$F$64,RAB!$C$14:$C$64,C958)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SUMIFS(RAB!$F$14:$F$64,RAB!$C$14:$C$64,C959)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SUMIFS(RAB!$F$14:$F$64,RAB!$C$14:$C$64,C960)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SUMIFS(RAB!$F$14:$F$64,RAB!$C$14:$C$64,C961)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SUMIFS(RAB!$F$14:$F$64,RAB!$C$14:$C$64,C962)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SUMIFS(RAB!$F$14:$F$64,RAB!$C$14:$C$64,C963)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SUMIFS(RAB!$F$14:$F$64,RAB!$C$14:$C$64,C964)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SUMIFS(RAB!$F$14:$F$64,RAB!$C$14:$C$64,C965)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SUMIFS(RAB!$F$14:$F$64,RAB!$C$14:$C$64,C966)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SUMIFS(RAB!$F$14:$F$64,RAB!$C$14:$C$64,C967)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SUMIFS(RAB!$F$14:$F$64,RAB!$C$14:$C$64,C968)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SUMIFS(RAB!$F$14:$F$64,RAB!$C$14:$C$64,C969)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SUMIFS(RAB!$F$14:$F$64,RAB!$C$14:$C$64,C970)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SUMIFS(RAB!$F$14:$F$64,RAB!$C$14:$C$64,C971)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SUMIFS(RAB!$F$14:$F$64,RAB!$C$14:$C$64,C972)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SUMIFS(RAB!$F$14:$F$64,RAB!$C$14:$C$64,C973)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SUMIFS(RAB!$F$14:$F$64,RAB!$C$14:$C$64,C974)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SUMIFS(RAB!$F$14:$F$64,RAB!$C$14:$C$64,C975)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SUMIFS(RAB!$F$14:$F$64,RAB!$C$14:$C$64,C976)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SUMIFS(RAB!$F$14:$F$64,RAB!$C$14:$C$64,C977)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SUMIFS(RAB!$F$14:$F$64,RAB!$C$14:$C$64,C978)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SUMIFS(RAB!$F$14:$F$64,RAB!$C$14:$C$64,C979)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SUMIFS(RAB!$F$14:$F$64,RAB!$C$14:$C$64,C980)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SUMIFS(RAB!$F$14:$F$64,RAB!$C$14:$C$64,C981)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SUMIFS(RAB!$F$14:$F$64,RAB!$C$14:$C$64,C982)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SUMIFS(RAB!$F$14:$F$64,RAB!$C$14:$C$64,C983)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SUMIFS(RAB!$F$14:$F$64,RAB!$C$14:$C$64,C984)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SUMIFS(RAB!$F$14:$F$64,RAB!$C$14:$C$64,C985)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SUMIFS(RAB!$F$14:$F$64,RAB!$C$14:$C$64,C986)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SUMIFS(RAB!$F$14:$F$64,RAB!$C$14:$C$64,C987)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SUMIFS(RAB!$F$14:$F$64,RAB!$C$14:$C$64,C988)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SUMIFS(RAB!$F$14:$F$64,RAB!$C$14:$C$64,C989)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SUMIFS(RAB!$F$14:$F$64,RAB!$C$14:$C$64,C990)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SUMIFS(RAB!$F$14:$F$64,RAB!$C$14:$C$64,C991)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SUMIFS(RAB!$F$14:$F$64,RAB!$C$14:$C$64,C992)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SUMIFS(RAB!$F$14:$F$64,RAB!$C$14:$C$64,C993)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SUMIFS(RAB!$F$14:$F$64,RAB!$C$14:$C$64,C994)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SUMIFS(RAB!$F$14:$F$64,RAB!$C$14:$C$64,C995)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SUMIFS(RAB!$F$14:$F$64,RAB!$C$14:$C$64,C996)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SUMIFS(RAB!$F$14:$F$64,RAB!$C$14:$C$64,C997)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SUMIFS(RAB!$F$14:$F$64,RAB!$C$14:$C$64,C998)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SUMIFS(RAB!$F$14:$F$64,RAB!$C$14:$C$64,C999)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SUMIFS(RAB!$F$14:$F$64,RAB!$C$14:$C$64,C1000)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SUMIFS(RAB!$F$14:$F$64,RAB!$C$14:$C$64,C1001)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SUMIFS(RAB!$F$14:$F$64,RAB!$C$14:$C$64,C1002)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SUMIFS(RAB!$F$14:$F$64,RAB!$C$14:$C$64,C1003)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SUMIFS(RAB!$F$14:$F$64,RAB!$C$14:$C$64,C1004)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SUMIFS(RAB!$F$14:$F$64,RAB!$C$14:$C$64,C1005)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SUMIFS(RAB!$F$14:$F$64,RAB!$C$14:$C$64,C1006)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SUMIFS(RAB!$F$14:$F$64,RAB!$C$14:$C$64,C1007)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SUMIFS(RAB!$F$14:$F$64,RAB!$C$14:$C$64,C1008)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SUMIFS(RAB!$F$14:$F$64,RAB!$C$14:$C$64,C1009)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SUMIFS(RAB!$F$14:$F$64,RAB!$C$14:$C$64,C1010)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SUMIFS(RAB!$F$14:$F$64,RAB!$C$14:$C$64,C1011)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SUMIFS(RAB!$F$14:$F$64,RAB!$C$14:$C$64,C1012)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SUMIFS(RAB!$F$14:$F$64,RAB!$C$14:$C$64,C1013)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SUMIFS(RAB!$F$14:$F$64,RAB!$C$14:$C$64,C1014)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SUMIFS(RAB!$F$14:$F$64,RAB!$C$14:$C$64,C1015)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SUMIFS(RAB!$F$14:$F$64,RAB!$C$14:$C$64,C1016)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SUMIFS(RAB!$F$14:$F$64,RAB!$C$14:$C$64,C1017)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SUMIFS(RAB!$F$14:$F$64,RAB!$C$14:$C$64,C1018)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SUMIFS(RAB!$F$14:$F$64,RAB!$C$14:$C$64,C1019)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SUMIFS(RAB!$F$14:$F$64,RAB!$C$14:$C$64,C1020)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SUMIFS(RAB!$F$14:$F$64,RAB!$C$14:$C$64,C1021)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SUMIFS(RAB!$F$14:$F$64,RAB!$C$14:$C$64,C1022)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SUMIFS(RAB!$F$14:$F$64,RAB!$C$14:$C$64,C1023)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SUMIFS(RAB!$F$14:$F$64,RAB!$C$14:$C$64,C1024)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SUMIFS(RAB!$F$14:$F$64,RAB!$C$14:$C$64,C1025)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SUMIFS(RAB!$F$14:$F$64,RAB!$C$14:$C$64,C1026)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SUMIFS(RAB!$F$14:$F$64,RAB!$C$14:$C$64,C1027)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SUMIFS(RAB!$F$14:$F$64,RAB!$C$14:$C$64,C1028)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SUMIFS(RAB!$F$14:$F$64,RAB!$C$14:$C$64,C1029)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SUMIFS(RAB!$F$14:$F$64,RAB!$C$14:$C$64,C1030)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SUMIFS(RAB!$F$14:$F$64,RAB!$C$14:$C$64,C1031)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SUMIFS(RAB!$F$14:$F$64,RAB!$C$14:$C$64,C1032)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SUMIFS(RAB!$F$14:$F$64,RAB!$C$14:$C$64,C1033)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SUMIFS(RAB!$F$14:$F$64,RAB!$C$14:$C$64,C1034)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SUMIFS(RAB!$F$14:$F$64,RAB!$C$14:$C$64,C1035)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SUMIFS(RAB!$F$14:$F$64,RAB!$C$14:$C$64,C1036)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SUMIFS(RAB!$F$14:$F$64,RAB!$C$14:$C$64,C1037)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SUMIFS(RAB!$F$14:$F$64,RAB!$C$14:$C$64,C1038)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SUMIFS(RAB!$F$14:$F$64,RAB!$C$14:$C$64,C1039)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SUMIFS(RAB!$F$14:$F$64,RAB!$C$14:$C$64,C1040)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SUMIFS(RAB!$F$14:$F$64,RAB!$C$14:$C$64,C1041)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SUMIFS(RAB!$F$14:$F$64,RAB!$C$14:$C$64,C1042)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SUMIFS(RAB!$F$14:$F$64,RAB!$C$14:$C$64,C1043)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SUMIFS(RAB!$F$14:$F$64,RAB!$C$14:$C$64,C1044)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SUMIFS(RAB!$F$14:$F$64,RAB!$C$14:$C$64,C1045)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SUMIFS(RAB!$F$14:$F$64,RAB!$C$14:$C$64,C1046)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SUMIFS(RAB!$F$14:$F$64,RAB!$C$14:$C$64,C1047)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SUMIFS(RAB!$F$14:$F$64,RAB!$C$14:$C$64,C1048)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SUMIFS(RAB!$F$14:$F$64,RAB!$C$14:$C$64,C1049)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SUMIFS(RAB!$F$14:$F$64,RAB!$C$14:$C$64,C1050)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SUMIFS(RAB!$F$14:$F$64,RAB!$C$14:$C$64,C1051)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SUMIFS(RAB!$F$14:$F$64,RAB!$C$14:$C$64,C1052)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SUMIFS(RAB!$F$14:$F$64,RAB!$C$14:$C$64,C1053)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SUMIFS(RAB!$F$14:$F$64,RAB!$C$14:$C$64,C1054)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SUMIFS(RAB!$F$14:$F$64,RAB!$C$14:$C$64,C1055)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SUMIFS(RAB!$F$14:$F$64,RAB!$C$14:$C$64,C1056)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SUMIFS(RAB!$F$14:$F$64,RAB!$C$14:$C$64,C1057)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SUMIFS(RAB!$F$14:$F$64,RAB!$C$14:$C$64,C1058)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SUMIFS(RAB!$F$14:$F$64,RAB!$C$14:$C$64,C1059)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SUMIFS(RAB!$F$14:$F$64,RAB!$C$14:$C$64,C1060)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SUMIFS(RAB!$F$14:$F$64,RAB!$C$14:$C$64,C1061)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SUMIFS(RAB!$F$14:$F$64,RAB!$C$14:$C$64,C1062)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SUMIFS(RAB!$F$14:$F$64,RAB!$C$14:$C$64,C1063)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SUMIFS(RAB!$F$14:$F$64,RAB!$C$14:$C$64,C1064)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SUMIFS(RAB!$F$14:$F$64,RAB!$C$14:$C$64,C1065)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SUMIFS(RAB!$F$14:$F$64,RAB!$C$14:$C$64,C1066)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SUMIFS(RAB!$F$14:$F$64,RAB!$C$14:$C$64,C1067)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SUMIFS(RAB!$F$14:$F$64,RAB!$C$14:$C$64,C1068)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SUMIFS(RAB!$F$14:$F$64,RAB!$C$14:$C$64,C1069)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SUMIFS(RAB!$F$14:$F$64,RAB!$C$14:$C$64,C1070)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SUMIFS(RAB!$F$14:$F$64,RAB!$C$14:$C$64,C1071)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SUMIFS(RAB!$F$14:$F$64,RAB!$C$14:$C$64,C1072)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SUMIFS(RAB!$F$14:$F$64,RAB!$C$14:$C$64,C1073)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SUMIFS(RAB!$F$14:$F$64,RAB!$C$14:$C$64,C1074)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SUMIFS(RAB!$F$14:$F$64,RAB!$C$14:$C$64,C1075)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SUMIFS(RAB!$F$14:$F$64,RAB!$C$14:$C$64,C1076)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SUMIFS(RAB!$F$14:$F$64,RAB!$C$14:$C$64,C1077)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SUMIFS(RAB!$F$14:$F$64,RAB!$C$14:$C$64,C1078)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SUMIFS(RAB!$F$14:$F$64,RAB!$C$14:$C$64,C1079)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SUMIFS(RAB!$F$14:$F$64,RAB!$C$14:$C$64,C1080)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SUMIFS(RAB!$F$14:$F$64,RAB!$C$14:$C$64,C1081)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SUMIFS(RAB!$F$14:$F$64,RAB!$C$14:$C$64,C1082)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SUMIFS(RAB!$F$14:$F$64,RAB!$C$14:$C$64,C1083)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SUMIFS(RAB!$F$14:$F$64,RAB!$C$14:$C$64,C1084)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SUMIFS(RAB!$F$14:$F$64,RAB!$C$14:$C$64,C1085)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SUMIFS(RAB!$F$14:$F$64,RAB!$C$14:$C$64,C1086)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SUMIFS(RAB!$F$14:$F$64,RAB!$C$14:$C$64,C1087)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SUMIFS(RAB!$F$14:$F$64,RAB!$C$14:$C$64,C1088)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SUMIFS(RAB!$F$14:$F$64,RAB!$C$14:$C$64,C1089)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SUMIFS(RAB!$F$14:$F$64,RAB!$C$14:$C$64,C1090)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SUMIFS(RAB!$F$14:$F$64,RAB!$C$14:$C$64,C1091)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SUMIFS(RAB!$F$14:$F$64,RAB!$C$14:$C$64,C1092)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SUMIFS(RAB!$F$14:$F$64,RAB!$C$14:$C$64,C1093)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SUMIFS(RAB!$F$14:$F$64,RAB!$C$14:$C$64,C1094)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SUMIFS(RAB!$F$14:$F$64,RAB!$C$14:$C$64,C1095)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SUMIFS(RAB!$F$14:$F$64,RAB!$C$14:$C$64,C1096)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SUMIFS(RAB!$F$14:$F$64,RAB!$C$14:$C$64,C1097)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SUMIFS(RAB!$F$14:$F$64,RAB!$C$14:$C$64,C1098)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SUMIFS(RAB!$F$14:$F$64,RAB!$C$14:$C$64,C1099)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SUMIFS(RAB!$F$14:$F$64,RAB!$C$14:$C$64,C1100)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SUMIFS(RAB!$F$14:$F$64,RAB!$C$14:$C$64,C1101)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SUMIFS(RAB!$F$14:$F$64,RAB!$C$14:$C$64,C1102)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SUMIFS(RAB!$F$14:$F$64,RAB!$C$14:$C$64,C1103)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SUMIFS(RAB!$F$14:$F$64,RAB!$C$14:$C$64,C1104)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SUMIFS(RAB!$F$14:$F$64,RAB!$C$14:$C$64,C1105)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SUMIFS(RAB!$F$14:$F$64,RAB!$C$14:$C$64,C1106)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SUMIFS(RAB!$F$14:$F$64,RAB!$C$14:$C$64,C1107)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SUMIFS(RAB!$F$14:$F$64,RAB!$C$14:$C$64,C1108)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SUMIFS(RAB!$F$14:$F$64,RAB!$C$14:$C$64,C1109)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SUMIFS(RAB!$F$14:$F$64,RAB!$C$14:$C$64,C1110)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SUMIFS(RAB!$F$14:$F$64,RAB!$C$14:$C$64,C1111)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SUMIFS(RAB!$F$14:$F$64,RAB!$C$14:$C$64,C1112)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SUMIFS(RAB!$F$14:$F$64,RAB!$C$14:$C$64,C1113)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SUMIFS(RAB!$F$14:$F$64,RAB!$C$14:$C$64,C1114)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SUMIFS(RAB!$F$14:$F$64,RAB!$C$14:$C$64,C1115)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SUMIFS(RAB!$F$14:$F$64,RAB!$C$14:$C$64,C1116)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SUMIFS(RAB!$F$14:$F$64,RAB!$C$14:$C$64,C1117)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SUMIFS(RAB!$F$14:$F$64,RAB!$C$14:$C$64,C1118)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SUMIFS(RAB!$F$14:$F$64,RAB!$C$14:$C$64,C1119)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SUMIFS(RAB!$F$14:$F$64,RAB!$C$14:$C$64,C1120)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SUMIFS(RAB!$F$14:$F$64,RAB!$C$14:$C$64,C1121)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SUMIFS(RAB!$F$14:$F$64,RAB!$C$14:$C$64,C1122)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SUMIFS(RAB!$F$14:$F$64,RAB!$C$14:$C$64,C1123)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SUMIFS(RAB!$F$14:$F$64,RAB!$C$14:$C$64,C1124)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SUMIFS(RAB!$F$14:$F$64,RAB!$C$14:$C$64,C1125)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SUMIFS(RAB!$F$14:$F$64,RAB!$C$14:$C$64,C1126)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SUMIFS(RAB!$F$14:$F$64,RAB!$C$14:$C$64,C1127)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SUMIFS(RAB!$F$14:$F$64,RAB!$C$14:$C$64,C1128)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SUMIFS(RAB!$F$14:$F$64,RAB!$C$14:$C$64,C1129)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SUMIFS(RAB!$F$14:$F$64,RAB!$C$14:$C$64,C1130)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SUMIFS(RAB!$F$14:$F$64,RAB!$C$14:$C$64,C1131)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SUMIFS(RAB!$F$14:$F$64,RAB!$C$14:$C$64,C1132)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SUMIFS(RAB!$F$14:$F$64,RAB!$C$14:$C$64,C1133)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SUMIFS(RAB!$F$14:$F$64,RAB!$C$14:$C$64,C1134)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SUMIFS(RAB!$F$14:$F$64,RAB!$C$14:$C$64,C1135)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SUMIFS(RAB!$F$14:$F$64,RAB!$C$14:$C$64,C1136)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SUMIFS(RAB!$F$14:$F$64,RAB!$C$14:$C$64,C1137)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SUMIFS(RAB!$F$14:$F$64,RAB!$C$14:$C$64,C1138)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SUMIFS(RAB!$F$14:$F$64,RAB!$C$14:$C$64,C1139)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SUMIFS(RAB!$F$14:$F$64,RAB!$C$14:$C$64,C1140)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SUMIFS(RAB!$F$14:$F$64,RAB!$C$14:$C$64,C1141)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SUMIFS(RAB!$F$14:$F$64,RAB!$C$14:$C$64,C1142)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SUMIFS(RAB!$F$14:$F$64,RAB!$C$14:$C$64,C1143)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SUMIFS(RAB!$F$14:$F$64,RAB!$C$14:$C$64,C1144)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SUMIFS(RAB!$F$14:$F$64,RAB!$C$14:$C$64,C1145)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SUMIFS(RAB!$F$14:$F$64,RAB!$C$14:$C$64,C1146)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SUMIFS(RAB!$F$14:$F$64,RAB!$C$14:$C$64,C1147)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SUMIFS(RAB!$F$14:$F$64,RAB!$C$14:$C$64,C1148)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SUMIFS(RAB!$F$14:$F$64,RAB!$C$14:$C$64,C1149)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SUMIFS(RAB!$F$14:$F$64,RAB!$C$14:$C$64,C1150)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SUMIFS(RAB!$F$14:$F$64,RAB!$C$14:$C$64,C1151)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SUMIFS(RAB!$F$14:$F$64,RAB!$C$14:$C$64,C1152)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SUMIFS(RAB!$F$14:$F$64,RAB!$C$14:$C$64,C1153)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SUMIFS(RAB!$F$14:$F$64,RAB!$C$14:$C$64,C1154)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SUMIFS(RAB!$F$14:$F$64,RAB!$C$14:$C$64,C1155)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SUMIFS(RAB!$F$14:$F$64,RAB!$C$14:$C$64,C1156)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SUMIFS(RAB!$F$14:$F$64,RAB!$C$14:$C$64,C1157)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SUMIFS(RAB!$F$14:$F$64,RAB!$C$14:$C$64,C1158)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SUMIFS(RAB!$F$14:$F$64,RAB!$C$14:$C$64,C1159)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SUMIFS(RAB!$F$14:$F$64,RAB!$C$14:$C$64,C1160)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SUMIFS(RAB!$F$14:$F$64,RAB!$C$14:$C$64,C1161)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SUMIFS(RAB!$F$14:$F$64,RAB!$C$14:$C$64,C1162)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SUMIFS(RAB!$F$14:$F$64,RAB!$C$14:$C$64,C1163)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SUMIFS(RAB!$F$14:$F$64,RAB!$C$14:$C$64,C1164)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SUMIFS(RAB!$F$14:$F$64,RAB!$C$14:$C$64,C1165)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SUMIFS(RAB!$F$14:$F$64,RAB!$C$14:$C$64,C1166)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SUMIFS(RAB!$F$14:$F$64,RAB!$C$14:$C$64,C1167)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SUMIFS(RAB!$F$14:$F$64,RAB!$C$14:$C$64,C1168)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SUMIFS(RAB!$F$14:$F$64,RAB!$C$14:$C$64,C1169)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SUMIFS(RAB!$F$14:$F$64,RAB!$C$14:$C$64,C1170)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SUMIFS(RAB!$F$14:$F$64,RAB!$C$14:$C$64,C1171)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SUMIFS(RAB!$F$14:$F$64,RAB!$C$14:$C$64,C1172)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SUMIFS(RAB!$F$14:$F$64,RAB!$C$14:$C$64,C1173)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SUMIFS(RAB!$F$14:$F$64,RAB!$C$14:$C$64,C1174)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SUMIFS(RAB!$F$14:$F$64,RAB!$C$14:$C$64,C1175)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SUMIFS(RAB!$F$14:$F$64,RAB!$C$14:$C$64,C1176)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SUMIFS(RAB!$F$14:$F$64,RAB!$C$14:$C$64,C1177)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SUMIFS(RAB!$F$14:$F$64,RAB!$C$14:$C$64,C1178)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SUMIFS(RAB!$F$14:$F$64,RAB!$C$14:$C$64,C1179)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SUMIFS(RAB!$F$14:$F$64,RAB!$C$14:$C$64,C1180)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SUMIFS(RAB!$F$14:$F$64,RAB!$C$14:$C$64,C1181)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SUMIFS(RAB!$F$14:$F$64,RAB!$C$14:$C$64,C1182)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SUMIFS(RAB!$F$14:$F$64,RAB!$C$14:$C$64,C1183)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SUMIFS(RAB!$F$14:$F$64,RAB!$C$14:$C$64,C1184)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SUMIFS(RAB!$F$14:$F$64,RAB!$C$14:$C$64,C1185)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SUMIFS(RAB!$F$14:$F$64,RAB!$C$14:$C$64,C1186)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SUMIFS(RAB!$F$14:$F$64,RAB!$C$14:$C$64,C1187)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SUMIFS(RAB!$F$14:$F$64,RAB!$C$14:$C$64,C1188)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SUMIFS(RAB!$F$14:$F$64,RAB!$C$14:$C$64,C1189)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SUMIFS(RAB!$F$14:$F$64,RAB!$C$14:$C$64,C1190)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SUMIFS(RAB!$F$14:$F$64,RAB!$C$14:$C$64,C1191)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SUMIFS(RAB!$F$14:$F$64,RAB!$C$14:$C$64,C1192)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SUMIFS(RAB!$F$14:$F$64,RAB!$C$14:$C$64,C1193)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SUMIFS(RAB!$F$14:$F$64,RAB!$C$14:$C$64,C1194)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SUMIFS(RAB!$F$14:$F$64,RAB!$C$14:$C$64,C1195)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SUMIFS(RAB!$F$14:$F$64,RAB!$C$14:$C$64,C1196)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SUMIFS(RAB!$F$14:$F$64,RAB!$C$14:$C$64,C1197)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SUMIFS(RAB!$F$14:$F$64,RAB!$C$14:$C$64,C1198)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SUMIFS(RAB!$F$14:$F$64,RAB!$C$14:$C$64,C1199)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SUMIFS(RAB!$F$14:$F$64,RAB!$C$14:$C$64,C1200)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SUMIFS(RAB!$F$14:$F$64,RAB!$C$14:$C$64,C1201)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SUMIFS(RAB!$F$14:$F$64,RAB!$C$14:$C$64,C1202)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SUMIFS(RAB!$F$14:$F$64,RAB!$C$14:$C$64,C1203)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SUMIFS(RAB!$F$14:$F$64,RAB!$C$14:$C$64,C1204)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SUMIFS(RAB!$F$14:$F$64,RAB!$C$14:$C$64,C1205)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SUMIFS(RAB!$F$14:$F$64,RAB!$C$14:$C$64,C1206)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SUMIFS(RAB!$F$14:$F$64,RAB!$C$14:$C$64,C1207)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SUMIFS(RAB!$F$14:$F$64,RAB!$C$14:$C$64,C1208)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SUMIFS(RAB!$F$14:$F$64,RAB!$C$14:$C$64,C1209)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SUMIFS(RAB!$F$14:$F$64,RAB!$C$14:$C$64,C1210)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SUMIFS(RAB!$F$14:$F$64,RAB!$C$14:$C$64,C1211)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SUMIFS(RAB!$F$14:$F$64,RAB!$C$14:$C$64,C1212)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SUMIFS(RAB!$F$14:$F$64,RAB!$C$14:$C$64,C1213)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SUMIFS(RAB!$F$14:$F$64,RAB!$C$14:$C$64,C1214)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SUMIFS(RAB!$F$14:$F$64,RAB!$C$14:$C$64,C1215)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SUMIFS(RAB!$F$14:$F$64,RAB!$C$14:$C$64,C1216)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SUMIFS(RAB!$F$14:$F$64,RAB!$C$14:$C$64,C1217)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SUMIFS(RAB!$F$14:$F$64,RAB!$C$14:$C$64,C1218)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SUMIFS(RAB!$F$14:$F$64,RAB!$C$14:$C$64,C1219)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SUMIFS(RAB!$F$14:$F$64,RAB!$C$14:$C$64,C1220)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SUMIFS(RAB!$F$14:$F$64,RAB!$C$14:$C$64,C1221)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SUMIFS(RAB!$F$14:$F$64,RAB!$C$14:$C$64,C1222)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SUMIFS(RAB!$F$14:$F$64,RAB!$C$14:$C$64,C1223)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SUMIFS(RAB!$F$14:$F$64,RAB!$C$14:$C$64,C1224)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SUMIFS(RAB!$F$14:$F$64,RAB!$C$14:$C$64,C1225)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SUMIFS(RAB!$F$14:$F$64,RAB!$C$14:$C$64,C1226)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SUMIFS(RAB!$F$14:$F$64,RAB!$C$14:$C$64,C1227)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SUMIFS(RAB!$F$14:$F$64,RAB!$C$14:$C$64,C1228)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SUMIFS(RAB!$F$14:$F$64,RAB!$C$14:$C$64,C1229)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SUMIFS(RAB!$F$14:$F$64,RAB!$C$14:$C$64,C1230)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SUMIFS(RAB!$F$14:$F$64,RAB!$C$14:$C$64,C1231)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SUMIFS(RAB!$F$14:$F$64,RAB!$C$14:$C$64,C1232)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SUMIFS(RAB!$F$14:$F$64,RAB!$C$14:$C$64,C1233)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SUMIFS(RAB!$F$14:$F$64,RAB!$C$14:$C$64,C1234)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SUMIFS(RAB!$F$14:$F$64,RAB!$C$14:$C$64,C1235)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SUMIFS(RAB!$F$14:$F$64,RAB!$C$14:$C$64,C1236)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SUMIFS(RAB!$F$14:$F$64,RAB!$C$14:$C$64,C1237)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SUMIFS(RAB!$F$14:$F$64,RAB!$C$14:$C$64,C1238)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SUMIFS(RAB!$F$14:$F$64,RAB!$C$14:$C$64,C1239)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SUMIFS(RAB!$F$14:$F$64,RAB!$C$14:$C$64,C1240)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SUMIFS(RAB!$F$14:$F$64,RAB!$C$14:$C$64,C1241)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SUMIFS(RAB!$F$14:$F$64,RAB!$C$14:$C$64,C1242)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SUMIFS(RAB!$F$14:$F$64,RAB!$C$14:$C$64,C1243)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SUMIFS(RAB!$F$14:$F$64,RAB!$C$14:$C$64,C1244)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SUMIFS(RAB!$F$14:$F$64,RAB!$C$14:$C$64,C1245)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SUMIFS(RAB!$F$14:$F$64,RAB!$C$14:$C$64,C1246)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SUMIFS(RAB!$F$14:$F$64,RAB!$C$14:$C$64,C1247)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SUMIFS(RAB!$F$14:$F$64,RAB!$C$14:$C$64,C1248)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SUMIFS(RAB!$F$14:$F$64,RAB!$C$14:$C$64,C1249)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SUMIFS(RAB!$F$14:$F$64,RAB!$C$14:$C$64,C1250)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SUMIFS(RAB!$F$14:$F$64,RAB!$C$14:$C$64,C1251)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SUMIFS(RAB!$F$14:$F$64,RAB!$C$14:$C$64,C1252)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SUMIFS(RAB!$F$14:$F$64,RAB!$C$14:$C$64,C1253)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SUMIFS(RAB!$F$14:$F$64,RAB!$C$14:$C$64,C1254)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SUMIFS(RAB!$F$14:$F$64,RAB!$C$14:$C$64,C1255)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SUMIFS(RAB!$F$14:$F$64,RAB!$C$14:$C$64,C1256)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SUMIFS(RAB!$F$14:$F$64,RAB!$C$14:$C$64,C1257)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SUMIFS(RAB!$F$14:$F$64,RAB!$C$14:$C$64,C1258)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SUMIFS(RAB!$F$14:$F$64,RAB!$C$14:$C$64,C1259)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SUMIFS(RAB!$F$14:$F$64,RAB!$C$14:$C$64,C1260)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SUMIFS(RAB!$F$14:$F$64,RAB!$C$14:$C$64,C1261)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SUMIFS(RAB!$F$14:$F$64,RAB!$C$14:$C$64,C1262)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SUMIFS(RAB!$F$14:$F$64,RAB!$C$14:$C$64,C1263)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SUMIFS(RAB!$F$14:$F$64,RAB!$C$14:$C$64,C1264)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SUMIFS(RAB!$F$14:$F$64,RAB!$C$14:$C$64,C1265)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SUMIFS(RAB!$F$14:$F$64,RAB!$C$14:$C$64,C1266)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SUMIFS(RAB!$F$14:$F$64,RAB!$C$14:$C$64,C1267)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SUMIFS(RAB!$F$14:$F$64,RAB!$C$14:$C$64,C1268)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SUMIFS(RAB!$F$14:$F$64,RAB!$C$14:$C$64,C1269)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SUMIFS(RAB!$F$14:$F$64,RAB!$C$14:$C$64,C1270)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SUMIFS(RAB!$F$14:$F$64,RAB!$C$14:$C$64,C1271)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SUMIFS(RAB!$F$14:$F$64,RAB!$C$14:$C$64,C1272)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SUMIFS(RAB!$F$14:$F$64,RAB!$C$14:$C$64,C1273)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SUMIFS(RAB!$F$14:$F$64,RAB!$C$14:$C$64,C1274)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SUMIFS(RAB!$F$14:$F$64,RAB!$C$14:$C$64,C1275)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SUMIFS(RAB!$F$14:$F$64,RAB!$C$14:$C$64,C1276)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SUMIFS(RAB!$F$14:$F$64,RAB!$C$14:$C$64,C1277)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SUMIFS(RAB!$F$14:$F$64,RAB!$C$14:$C$64,C1278)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SUMIFS(RAB!$F$14:$F$64,RAB!$C$14:$C$64,C1279)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SUMIFS(RAB!$F$14:$F$64,RAB!$C$14:$C$64,C1280)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SUMIFS(RAB!$F$14:$F$64,RAB!$C$14:$C$64,C1281)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SUMIFS(RAB!$F$14:$F$64,RAB!$C$14:$C$64,C1282)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SUMIFS(RAB!$F$14:$F$64,RAB!$C$14:$C$64,C1283)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SUMIFS(RAB!$F$14:$F$64,RAB!$C$14:$C$64,C1284)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SUMIFS(RAB!$F$14:$F$64,RAB!$C$14:$C$64,C1285)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SUMIFS(RAB!$F$14:$F$64,RAB!$C$14:$C$64,C1286)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SUMIFS(RAB!$F$14:$F$64,RAB!$C$14:$C$64,C1287)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SUMIFS(RAB!$F$14:$F$64,RAB!$C$14:$C$64,C1288)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SUMIFS(RAB!$F$14:$F$64,RAB!$C$14:$C$64,C1289)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SUMIFS(RAB!$F$14:$F$64,RAB!$C$14:$C$64,C1290)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SUMIFS(RAB!$F$14:$F$64,RAB!$C$14:$C$64,C1291)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SUMIFS(RAB!$F$14:$F$64,RAB!$C$14:$C$64,C1292)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SUMIFS(RAB!$F$14:$F$64,RAB!$C$14:$C$64,C1293)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SUMIFS(RAB!$F$14:$F$64,RAB!$C$14:$C$64,C1294)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SUMIFS(RAB!$F$14:$F$64,RAB!$C$14:$C$64,C1295)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SUMIFS(RAB!$F$14:$F$64,RAB!$C$14:$C$64,C1296)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SUMIFS(RAB!$F$14:$F$64,RAB!$C$14:$C$64,C1297)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SUMIFS(RAB!$F$14:$F$64,RAB!$C$14:$C$64,C1298)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SUMIFS(RAB!$F$14:$F$64,RAB!$C$14:$C$64,C1299)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SUMIFS(RAB!$F$14:$F$64,RAB!$C$14:$C$64,C1300)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SUMIFS(RAB!$F$14:$F$64,RAB!$C$14:$C$64,C1301)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SUMIFS(RAB!$F$14:$F$64,RAB!$C$14:$C$64,C1302)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SUMIFS(RAB!$F$14:$F$64,RAB!$C$14:$C$64,C1303)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SUMIFS(RAB!$F$14:$F$64,RAB!$C$14:$C$64,C1304)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SUMIFS(RAB!$F$14:$F$64,RAB!$C$14:$C$64,C1305)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SUMIFS(RAB!$F$14:$F$64,RAB!$C$14:$C$64,C1306)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SUMIFS(RAB!$F$14:$F$64,RAB!$C$14:$C$64,C1307)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SUMIFS(RAB!$F$14:$F$64,RAB!$C$14:$C$64,C1308)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SUMIFS(RAB!$F$14:$F$64,RAB!$C$14:$C$64,C1309)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SUMIFS(RAB!$F$14:$F$64,RAB!$C$14:$C$64,C1310)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SUMIFS(RAB!$F$14:$F$64,RAB!$C$14:$C$64,C1311)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SUMIFS(RAB!$F$14:$F$64,RAB!$C$14:$C$64,C1312)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SUMIFS(RAB!$F$14:$F$64,RAB!$C$14:$C$64,C1313)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SUMIFS(RAB!$F$14:$F$64,RAB!$C$14:$C$64,C1314)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SUMIFS(RAB!$F$14:$F$64,RAB!$C$14:$C$64,C1315)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SUMIFS(RAB!$F$14:$F$64,RAB!$C$14:$C$64,C1316)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SUMIFS(RAB!$F$14:$F$64,RAB!$C$14:$C$64,C1317)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SUMIFS(RAB!$F$14:$F$64,RAB!$C$14:$C$64,C1318)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SUMIFS(RAB!$F$14:$F$64,RAB!$C$14:$C$64,C1319)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SUMIFS(RAB!$F$14:$F$64,RAB!$C$14:$C$64,C1320)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9" priority="5" operator="equal">
      <formula>0</formula>
    </cfRule>
  </conditionalFormatting>
  <conditionalFormatting sqref="A10:L65536">
    <cfRule type="cellIs" dxfId="48" priority="1" operator="equal">
      <formula>0</formula>
    </cfRule>
  </conditionalFormatting>
  <conditionalFormatting sqref="C12:C711">
    <cfRule type="cellIs" dxfId="47" priority="66" stopIfTrue="1" operator="equal">
      <formula>0</formula>
    </cfRule>
  </conditionalFormatting>
  <conditionalFormatting sqref="E712:E65536">
    <cfRule type="cellIs" dxfId="46" priority="16" stopIfTrue="1" operator="equal">
      <formula>0</formula>
    </cfRule>
  </conditionalFormatting>
  <conditionalFormatting sqref="G1:G11 E6:E11 E1:E3 H7 H10:H11 F10:F711 G712:G65536">
    <cfRule type="cellIs" dxfId="45" priority="69" stopIfTrue="1" operator="equal">
      <formula>0</formula>
    </cfRule>
  </conditionalFormatting>
  <conditionalFormatting sqref="G12:H711">
    <cfRule type="cellIs" dxfId="44" priority="12" stopIfTrue="1" operator="equal">
      <formula>0</formula>
    </cfRule>
  </conditionalFormatting>
  <conditionalFormatting sqref="I7:K7">
    <cfRule type="cellIs" dxfId="43" priority="4" stopIfTrue="1" operator="equal">
      <formula>0</formula>
    </cfRule>
  </conditionalFormatting>
  <conditionalFormatting sqref="I10:L711">
    <cfRule type="cellIs" dxfId="42" priority="2" stopIfTrue="1" operator="equal">
      <formula>0</formula>
    </cfRule>
  </conditionalFormatting>
  <conditionalFormatting sqref="L1:L6">
    <cfRule type="cellIs" dxfId="41" priority="10" operator="equal">
      <formula>0</formula>
    </cfRule>
  </conditionalFormatting>
  <conditionalFormatting sqref="M1:IV1048576 A8:G9">
    <cfRule type="cellIs" dxfId="4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8" t="s">
        <v>1127</v>
      </c>
      <c r="C4" s="528"/>
      <c r="D4" s="528"/>
      <c r="E4" s="528"/>
      <c r="F4" s="528"/>
      <c r="G4" s="528"/>
      <c r="H4" s="528"/>
      <c r="I4" s="528"/>
      <c r="J4" s="528"/>
      <c r="K4" s="52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2" t="str">
        <f>RAB!G6</f>
        <v>PB XL-JAW-JT-PWD-4024 GENTING SEDO</v>
      </c>
      <c r="H6" s="552"/>
      <c r="I6" s="552"/>
      <c r="J6" s="552"/>
      <c r="K6" s="55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SEDO,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9" t="s">
        <v>0</v>
      </c>
      <c r="C11" s="531" t="s">
        <v>1</v>
      </c>
      <c r="D11" s="534" t="s">
        <v>42</v>
      </c>
      <c r="E11" s="534" t="s">
        <v>43</v>
      </c>
      <c r="F11" s="534" t="s">
        <v>2</v>
      </c>
      <c r="G11" s="536" t="s">
        <v>41</v>
      </c>
      <c r="H11" s="534" t="s">
        <v>3</v>
      </c>
      <c r="I11" s="534"/>
      <c r="J11" s="534"/>
      <c r="K11" s="539"/>
      <c r="M11" s="33"/>
      <c r="N11" s="33"/>
      <c r="O11" s="33"/>
      <c r="P11" s="33"/>
      <c r="R11" s="34"/>
      <c r="S11" s="74"/>
      <c r="T11" s="74"/>
    </row>
    <row r="12" spans="1:21" ht="15" customHeight="1">
      <c r="B12" s="530"/>
      <c r="C12" s="532"/>
      <c r="D12" s="535"/>
      <c r="E12" s="535"/>
      <c r="F12" s="535"/>
      <c r="G12" s="537"/>
      <c r="H12" s="543" t="s">
        <v>46</v>
      </c>
      <c r="I12" s="543" t="s">
        <v>5</v>
      </c>
      <c r="J12" s="535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0"/>
      <c r="C13" s="533"/>
      <c r="D13" s="535"/>
      <c r="E13" s="535"/>
      <c r="F13" s="535"/>
      <c r="G13" s="538"/>
      <c r="H13" s="544"/>
      <c r="I13" s="544"/>
      <c r="J13" s="535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3" t="s">
        <v>1008</v>
      </c>
      <c r="D38" s="553"/>
      <c r="E38" s="553"/>
      <c r="F38" s="55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4" t="s">
        <v>462</v>
      </c>
      <c r="D39" s="554"/>
      <c r="E39" s="554"/>
      <c r="F39" s="55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5" t="s">
        <v>463</v>
      </c>
      <c r="D40" s="545"/>
      <c r="E40" s="545"/>
      <c r="F40" s="545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6" t="e">
        <f ca="1">"Terbilang : ( "&amp;L42&amp;" Rupiah )"</f>
        <v>#NAME?</v>
      </c>
      <c r="C41" s="547"/>
      <c r="D41" s="547"/>
      <c r="E41" s="547"/>
      <c r="F41" s="547"/>
      <c r="G41" s="547"/>
      <c r="H41" s="547"/>
      <c r="I41" s="547"/>
      <c r="J41" s="547"/>
      <c r="K41" s="548"/>
      <c r="L41" s="44"/>
      <c r="R41" s="58"/>
      <c r="S41" s="58"/>
      <c r="T41" s="58"/>
    </row>
    <row r="42" spans="1:20" s="36" customFormat="1">
      <c r="A42" s="30"/>
      <c r="B42" s="549"/>
      <c r="C42" s="550"/>
      <c r="D42" s="550"/>
      <c r="E42" s="550"/>
      <c r="F42" s="550"/>
      <c r="G42" s="550"/>
      <c r="H42" s="550"/>
      <c r="I42" s="550"/>
      <c r="J42" s="550"/>
      <c r="K42" s="551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0"/>
      <c r="I45" s="540"/>
      <c r="J45" s="541"/>
      <c r="K45" s="54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0"/>
      <c r="I46" s="540"/>
      <c r="J46" s="541"/>
      <c r="K46" s="54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0"/>
      <c r="I47" s="540"/>
      <c r="J47" s="541"/>
      <c r="K47" s="54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0"/>
      <c r="I52" s="540"/>
      <c r="J52" s="541"/>
      <c r="K52" s="54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SUMIFS(RAB!$F$14:$F$64,RAB!$C$14:$C$64,'REKAP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SUMIFS(RAB!$F$14:$F$64,RAB!$C$14:$C$64,'REKAP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SUMIFS(RAB!$F$14:$F$64,RAB!$C$14:$C$64,'REKAP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SUMIFS(RAB!$F$14:$F$64,RAB!$C$14:$C$64,'REKAP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SUMIFS(RAB!$F$14:$F$64,RAB!$C$14:$C$64,'REKAP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SUMIFS(RAB!$F$14:$F$64,RAB!$C$14:$C$64,'REKAP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SUMIFS(RAB!$F$14:$F$64,RAB!$C$14:$C$64,'REKAP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SUMIFS(RAB!$F$14:$F$64,RAB!$C$14:$C$64,'REKAP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SUMIFS(RAB!$F$14:$F$64,RAB!$C$14:$C$64,'REKAP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SUMIFS(RAB!$F$14:$F$64,RAB!$C$14:$C$64,'REKAP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SUMIFS(RAB!$F$14:$F$64,RAB!$C$14:$C$64,'REKAP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SUMIFS(RAB!$F$14:$F$64,RAB!$C$14:$C$64,'REKAP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SUMIFS(RAB!$F$14:$F$64,RAB!$C$14:$C$64,'REKAP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SUMIFS(RAB!$F$14:$F$64,RAB!$C$14:$C$64,'REKAP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SUMIFS(RAB!$F$14:$F$64,RAB!$C$14:$C$64,'REKAP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SUMIFS(RAB!$F$14:$F$64,RAB!$C$14:$C$64,'REKAP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SUMIFS(RAB!$F$14:$F$64,RAB!$C$14:$C$64,'REKAP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SUMIFS(RAB!$F$14:$F$64,RAB!$C$14:$C$64,'REKAP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SUMIFS(RAB!$F$14:$F$64,RAB!$C$14:$C$64,'REKAP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SUMIFS(RAB!$F$14:$F$64,RAB!$C$14:$C$64,'REKAP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8" t="s">
        <v>1034</v>
      </c>
      <c r="C4" s="528"/>
      <c r="D4" s="528"/>
      <c r="E4" s="528"/>
      <c r="F4" s="528"/>
      <c r="G4" s="528"/>
      <c r="H4" s="528"/>
      <c r="I4" s="528"/>
      <c r="J4" s="528"/>
      <c r="K4" s="52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2" t="str">
        <f>RAB!G6</f>
        <v>PB XL-JAW-JT-PWD-4024 GENTING SEDO</v>
      </c>
      <c r="H6" s="552"/>
      <c r="I6" s="552"/>
      <c r="J6" s="552"/>
      <c r="K6" s="55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SEDO,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9" t="s">
        <v>0</v>
      </c>
      <c r="C11" s="531" t="s">
        <v>1</v>
      </c>
      <c r="D11" s="534" t="s">
        <v>42</v>
      </c>
      <c r="E11" s="534" t="s">
        <v>43</v>
      </c>
      <c r="F11" s="534" t="s">
        <v>2</v>
      </c>
      <c r="G11" s="536" t="s">
        <v>41</v>
      </c>
      <c r="H11" s="534" t="s">
        <v>3</v>
      </c>
      <c r="I11" s="534"/>
      <c r="J11" s="534"/>
      <c r="K11" s="539"/>
      <c r="M11" s="33"/>
      <c r="N11" s="33"/>
      <c r="O11" s="33"/>
      <c r="P11" s="33"/>
      <c r="R11" s="34"/>
      <c r="S11" s="74"/>
      <c r="T11" s="74"/>
    </row>
    <row r="12" spans="1:21" ht="15" customHeight="1">
      <c r="B12" s="530"/>
      <c r="C12" s="532"/>
      <c r="D12" s="535"/>
      <c r="E12" s="535"/>
      <c r="F12" s="535"/>
      <c r="G12" s="537"/>
      <c r="H12" s="543" t="s">
        <v>46</v>
      </c>
      <c r="I12" s="543" t="s">
        <v>5</v>
      </c>
      <c r="J12" s="535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0"/>
      <c r="C13" s="533"/>
      <c r="D13" s="535"/>
      <c r="E13" s="535"/>
      <c r="F13" s="535"/>
      <c r="G13" s="538"/>
      <c r="H13" s="544"/>
      <c r="I13" s="544"/>
      <c r="J13" s="535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3 Fasa 16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172800</v>
      </c>
      <c r="H17" s="42">
        <f t="shared" ca="1" si="1"/>
        <v>172800</v>
      </c>
      <c r="I17" s="42">
        <f t="shared" ca="1" si="2"/>
        <v>0</v>
      </c>
      <c r="J17" s="42">
        <f t="shared" ca="1" si="3"/>
        <v>0</v>
      </c>
      <c r="K17" s="43">
        <f t="shared" ca="1" si="0"/>
        <v>172800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LVCB 2 Jurusan 250 A LBS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9994500</v>
      </c>
      <c r="H18" s="42">
        <f t="shared" ca="1" si="1"/>
        <v>9994500</v>
      </c>
      <c r="I18" s="42">
        <f t="shared" ca="1" si="2"/>
        <v>0</v>
      </c>
      <c r="J18" s="42">
        <f t="shared" ca="1" si="3"/>
        <v>0</v>
      </c>
      <c r="K18" s="43">
        <f t="shared" ca="1" si="0"/>
        <v>9994500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NFA2X-T 3x70+1x70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30</v>
      </c>
      <c r="G19" s="41">
        <f ca="1">IF(ISERROR(OFFSET('HARGA SATUAN'!$I$6,MATCH(C19,'HARGA SATUAN'!$C$7:$C$1492,0),0)),"",OFFSET('HARGA SATUAN'!$I$6,MATCH(C19,'HARGA SATUAN'!$C$7:$C$1492,0),0))</f>
        <v>54500</v>
      </c>
      <c r="H19" s="42">
        <f t="shared" ca="1" si="1"/>
        <v>1635000</v>
      </c>
      <c r="I19" s="42">
        <f t="shared" ca="1" si="2"/>
        <v>0</v>
      </c>
      <c r="J19" s="42">
        <f t="shared" ca="1" si="3"/>
        <v>0</v>
      </c>
      <c r="K19" s="43">
        <f t="shared" ca="1" si="0"/>
        <v>1635000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 4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20</v>
      </c>
      <c r="G20" s="41">
        <f ca="1">IF(ISERROR(OFFSET('HARGA SATUAN'!$I$6,MATCH(C20,'HARGA SATUAN'!$C$7:$C$1492,0),0)),"",OFFSET('HARGA SATUAN'!$I$6,MATCH(C20,'HARGA SATUAN'!$C$7:$C$1492,0),0))</f>
        <v>13500</v>
      </c>
      <c r="H20" s="42">
        <f t="shared" ca="1" si="1"/>
        <v>270000</v>
      </c>
      <c r="I20" s="42">
        <f t="shared" ca="1" si="2"/>
        <v>0</v>
      </c>
      <c r="J20" s="42">
        <f t="shared" ca="1" si="3"/>
        <v>0</v>
      </c>
      <c r="K20" s="43">
        <f t="shared" ca="1" si="0"/>
        <v>270000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3" t="s">
        <v>1008</v>
      </c>
      <c r="D168" s="553"/>
      <c r="E168" s="553"/>
      <c r="F168" s="553"/>
      <c r="G168" s="77" t="s">
        <v>9</v>
      </c>
      <c r="H168" s="55">
        <f ca="1">SUM(H14:H167)</f>
        <v>13499700</v>
      </c>
      <c r="I168" s="55">
        <f ca="1">SUM(I14:I167)</f>
        <v>0</v>
      </c>
      <c r="J168" s="55">
        <f ca="1">SUM(J14:J167)</f>
        <v>0</v>
      </c>
      <c r="K168" s="55">
        <f ca="1">SUM(K14:K167)</f>
        <v>13499700</v>
      </c>
      <c r="L168" s="44"/>
      <c r="R168" s="99"/>
      <c r="S168" s="99"/>
      <c r="T168" s="99"/>
    </row>
    <row r="169" spans="1:20" s="36" customFormat="1">
      <c r="A169" s="30"/>
      <c r="B169" s="56"/>
      <c r="C169" s="554" t="s">
        <v>462</v>
      </c>
      <c r="D169" s="554"/>
      <c r="E169" s="554"/>
      <c r="F169" s="554"/>
      <c r="G169" s="59" t="s">
        <v>9</v>
      </c>
      <c r="H169" s="60">
        <f ca="1">H168*0.1</f>
        <v>1349970</v>
      </c>
      <c r="I169" s="60">
        <f ca="1">I168*0.1</f>
        <v>0</v>
      </c>
      <c r="J169" s="60">
        <f ca="1">J168*0.1</f>
        <v>0</v>
      </c>
      <c r="K169" s="60">
        <f ca="1">K168*0.1</f>
        <v>1349970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5" t="s">
        <v>463</v>
      </c>
      <c r="D170" s="545"/>
      <c r="E170" s="545"/>
      <c r="F170" s="545"/>
      <c r="G170" s="61" t="s">
        <v>9</v>
      </c>
      <c r="H170" s="78">
        <f ca="1">SUM(H168:H169)</f>
        <v>14849670</v>
      </c>
      <c r="I170" s="78">
        <f ca="1">SUM(I168:I169)</f>
        <v>0</v>
      </c>
      <c r="J170" s="61">
        <f ca="1">SUM(J168:J169)</f>
        <v>0</v>
      </c>
      <c r="K170" s="61">
        <f ca="1">SUM(K168:K169)</f>
        <v>14849670</v>
      </c>
      <c r="L170" s="44"/>
      <c r="R170" s="99"/>
      <c r="S170" s="99"/>
      <c r="T170" s="99"/>
    </row>
    <row r="171" spans="1:20" s="36" customFormat="1">
      <c r="A171" s="30"/>
      <c r="B171" s="546" t="e">
        <f ca="1">"Terbilang : ( "&amp;L172&amp;" Rupiah )"</f>
        <v>#NAME?</v>
      </c>
      <c r="C171" s="547"/>
      <c r="D171" s="547"/>
      <c r="E171" s="547"/>
      <c r="F171" s="547"/>
      <c r="G171" s="547"/>
      <c r="H171" s="547"/>
      <c r="I171" s="547"/>
      <c r="J171" s="547"/>
      <c r="K171" s="548"/>
      <c r="L171" s="44"/>
      <c r="R171" s="58"/>
      <c r="S171" s="58"/>
      <c r="T171" s="58"/>
    </row>
    <row r="172" spans="1:20" s="36" customFormat="1">
      <c r="A172" s="30"/>
      <c r="B172" s="549"/>
      <c r="C172" s="550"/>
      <c r="D172" s="550"/>
      <c r="E172" s="550"/>
      <c r="F172" s="550"/>
      <c r="G172" s="550"/>
      <c r="H172" s="550"/>
      <c r="I172" s="550"/>
      <c r="J172" s="550"/>
      <c r="K172" s="551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0"/>
      <c r="I175" s="540"/>
      <c r="J175" s="541"/>
      <c r="K175" s="54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0"/>
      <c r="I176" s="540"/>
      <c r="J176" s="541"/>
      <c r="K176" s="54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0"/>
      <c r="I177" s="540"/>
      <c r="J177" s="541"/>
      <c r="K177" s="54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0"/>
      <c r="I182" s="540"/>
      <c r="J182" s="541"/>
      <c r="K182" s="54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SUMIFS(RAB!$F$14:$F$64,RAB!$C$14:$C$64,C224)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SUMIFS(RAB!$F$14:$F$64,RAB!$C$14:$C$64,C225)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SUMIFS(RAB!$F$14:$F$64,RAB!$C$14:$C$64,C226)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SUMIFS(RAB!$F$14:$F$64,RAB!$C$14:$C$64,C227)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SUMIFS(RAB!$F$14:$F$64,RAB!$C$14:$C$64,C228)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SUMIFS(RAB!$F$14:$F$64,RAB!$C$14:$C$64,C229)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SUMIFS(RAB!$F$14:$F$64,RAB!$C$14:$C$64,C230)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SUMIFS(RAB!$F$14:$F$64,RAB!$C$14:$C$64,C231)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SUMIFS(RAB!$F$14:$F$64,RAB!$C$14:$C$64,C232)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SUMIFS(RAB!$F$14:$F$64,RAB!$C$14:$C$64,C233)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SUMIFS(RAB!$F$14:$F$64,RAB!$C$14:$C$64,C234)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SUMIFS(RAB!$F$14:$F$64,RAB!$C$14:$C$64,C235)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SUMIFS(RAB!$F$14:$F$64,RAB!$C$14:$C$64,C236)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SUMIFS(RAB!$F$14:$F$64,RAB!$C$14:$C$64,C237)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SUMIFS(RAB!$F$14:$F$64,RAB!$C$14:$C$64,C238)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SUMIFS(RAB!$F$14:$F$64,RAB!$C$14:$C$64,C239)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SUMIFS(RAB!$F$14:$F$64,RAB!$C$14:$C$64,C240)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SUMIFS(RAB!$F$14:$F$64,RAB!$C$14:$C$64,C241)</f>
        <v>1</v>
      </c>
      <c r="E241" s="24">
        <f t="shared" ca="1" si="21"/>
        <v>1</v>
      </c>
      <c r="F241" s="24">
        <f ca="1">IF(D241=0,0,SUM($E$223:E241))</f>
        <v>2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SUMIFS(RAB!$F$14:$F$64,RAB!$C$14:$C$64,C242)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SUMIFS(RAB!$F$14:$F$64,RAB!$C$14:$C$64,C243)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SUMIFS(RAB!$F$14:$F$64,RAB!$C$14:$C$64,C244)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SUMIFS(RAB!$F$14:$F$64,RAB!$C$14:$C$64,C245)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SUMIFS(RAB!$F$14:$F$64,RAB!$C$14:$C$64,C246)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SUMIFS(RAB!$F$14:$F$64,RAB!$C$14:$C$64,C247)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SUMIFS(RAB!$F$14:$F$64,RAB!$C$14:$C$64,C248)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SUMIFS(RAB!$F$14:$F$64,RAB!$C$14:$C$64,C249)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SUMIFS(RAB!$F$14:$F$64,RAB!$C$14:$C$64,C250)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SUMIFS(RAB!$F$14:$F$64,RAB!$C$14:$C$64,C251)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SUMIFS(RAB!$F$14:$F$64,RAB!$C$14:$C$64,C252)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SUMIFS(RAB!$F$14:$F$64,RAB!$C$14:$C$64,C253)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SUMIFS(RAB!$F$14:$F$64,RAB!$C$14:$C$64,C254)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SUMIFS(RAB!$F$14:$F$64,RAB!$C$14:$C$64,C255)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SUMIFS(RAB!$F$14:$F$64,RAB!$C$14:$C$64,C256)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SUMIFS(RAB!$F$14:$F$64,RAB!$C$14:$C$64,C257)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SUMIFS(RAB!$F$14:$F$64,RAB!$C$14:$C$64,C258)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SUMIFS(RAB!$F$14:$F$64,RAB!$C$14:$C$64,C259)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SUMIFS(RAB!$F$14:$F$64,RAB!$C$14:$C$64,C260)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SUMIFS(RAB!$F$14:$F$64,RAB!$C$14:$C$64,C261)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SUMIFS(RAB!$F$14:$F$64,RAB!$C$14:$C$64,C262)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SUMIFS(RAB!$F$14:$F$64,RAB!$C$14:$C$64,C263)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SUMIFS(RAB!$F$14:$F$64,RAB!$C$14:$C$64,C264)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SUMIFS(RAB!$F$14:$F$64,RAB!$C$14:$C$64,C265)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SUMIFS(RAB!$F$14:$F$64,RAB!$C$14:$C$64,C266)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SUMIFS(RAB!$F$14:$F$64,RAB!$C$14:$C$64,C267)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SUMIFS(RAB!$F$14:$F$64,RAB!$C$14:$C$64,C268)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SUMIFS(RAB!$F$14:$F$64,RAB!$C$14:$C$64,C269)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SUMIFS(RAB!$F$14:$F$64,RAB!$C$14:$C$64,C270)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SUMIFS(RAB!$F$14:$F$64,RAB!$C$14:$C$64,C271)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SUMIFS(RAB!$F$14:$F$64,RAB!$C$14:$C$64,C272)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SUMIFS(RAB!$F$14:$F$64,RAB!$C$14:$C$64,C273)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SUMIFS(RAB!$F$14:$F$64,RAB!$C$14:$C$64,C274)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SUMIFS(RAB!$F$14:$F$64,RAB!$C$14:$C$64,C275)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SUMIFS(RAB!$F$14:$F$64,RAB!$C$14:$C$64,C276)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SUMIFS(RAB!$F$14:$F$64,RAB!$C$14:$C$64,C277)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SUMIFS(RAB!$F$14:$F$64,RAB!$C$14:$C$64,C278)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SUMIFS(RAB!$F$14:$F$64,RAB!$C$14:$C$64,C279)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SUMIFS(RAB!$F$14:$F$64,RAB!$C$14:$C$64,C280)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SUMIFS(RAB!$F$14:$F$64,RAB!$C$14:$C$64,C281)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SUMIFS(RAB!$F$14:$F$64,RAB!$C$14:$C$64,C282)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SUMIFS(RAB!$F$14:$F$64,RAB!$C$14:$C$64,C283)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SUMIFS(RAB!$F$14:$F$64,RAB!$C$14:$C$64,C284)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SUMIFS(RAB!$F$14:$F$64,RAB!$C$14:$C$64,C285)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SUMIFS(RAB!$F$14:$F$64,RAB!$C$14:$C$64,C286)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SUMIFS(RAB!$F$14:$F$64,RAB!$C$14:$C$64,C287)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SUMIFS(RAB!$F$14:$F$64,RAB!$C$14:$C$64,C288)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SUMIFS(RAB!$F$14:$F$64,RAB!$C$14:$C$64,C289)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SUMIFS(RAB!$F$14:$F$64,RAB!$C$14:$C$64,C290)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SUMIFS(RAB!$F$14:$F$64,RAB!$C$14:$C$64,C291)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SUMIFS(RAB!$F$14:$F$64,RAB!$C$14:$C$64,C292)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SUMIFS(RAB!$F$14:$F$64,RAB!$C$14:$C$64,C293)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SUMIFS(RAB!$F$14:$F$64,RAB!$C$14:$C$64,C294)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SUMIFS(RAB!$F$14:$F$64,RAB!$C$14:$C$64,C295)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SUMIFS(RAB!$F$14:$F$64,RAB!$C$14:$C$64,C296)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SUMIFS(RAB!$F$14:$F$64,RAB!$C$14:$C$64,C297)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SUMIFS(RAB!$F$14:$F$64,RAB!$C$14:$C$64,C298)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SUMIFS(RAB!$F$14:$F$64,RAB!$C$14:$C$64,C299)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SUMIFS(RAB!$F$14:$F$64,RAB!$C$14:$C$64,C300)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SUMIFS(RAB!$F$14:$F$64,RAB!$C$14:$C$64,C301)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SUMIFS(RAB!$F$14:$F$64,RAB!$C$14:$C$64,C302)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SUMIFS(RAB!$F$14:$F$64,RAB!$C$14:$C$64,C303)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SUMIFS(RAB!$F$14:$F$64,RAB!$C$14:$C$64,C304)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SUMIFS(RAB!$F$14:$F$64,RAB!$C$14:$C$64,C305)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SUMIFS(RAB!$F$14:$F$64,RAB!$C$14:$C$64,C306)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SUMIFS(RAB!$F$14:$F$64,RAB!$C$14:$C$64,C307)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SUMIFS(RAB!$F$14:$F$64,RAB!$C$14:$C$64,C308)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SUMIFS(RAB!$F$14:$F$64,RAB!$C$14:$C$64,C309)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SUMIFS(RAB!$F$14:$F$64,RAB!$C$14:$C$64,C310)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SUMIFS(RAB!$F$14:$F$64,RAB!$C$14:$C$64,C311)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SUMIFS(RAB!$F$14:$F$64,RAB!$C$14:$C$64,C312)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SUMIFS(RAB!$F$14:$F$64,RAB!$C$14:$C$64,C313)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SUMIFS(RAB!$F$14:$F$64,RAB!$C$14:$C$64,C314)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SUMIFS(RAB!$F$14:$F$64,RAB!$C$14:$C$64,C315)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SUMIFS(RAB!$F$14:$F$64,RAB!$C$14:$C$64,C316)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SUMIFS(RAB!$F$14:$F$64,RAB!$C$14:$C$64,C317)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SUMIFS(RAB!$F$14:$F$64,RAB!$C$14:$C$64,C318)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SUMIFS(RAB!$F$14:$F$64,RAB!$C$14:$C$64,C319)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SUMIFS(RAB!$F$14:$F$64,RAB!$C$14:$C$64,C320)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SUMIFS(RAB!$F$14:$F$64,RAB!$C$14:$C$64,C321)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SUMIFS(RAB!$F$14:$F$64,RAB!$C$14:$C$64,C322)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SUMIFS(RAB!$F$14:$F$64,RAB!$C$14:$C$64,C323)</f>
        <v>1</v>
      </c>
      <c r="E323" s="24">
        <f t="shared" ca="1" si="22"/>
        <v>1</v>
      </c>
      <c r="F323" s="24">
        <f ca="1">IF(D323=0,0,SUM($E$223:E323))</f>
        <v>3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SUMIFS(RAB!$F$14:$F$64,RAB!$C$14:$C$64,C324)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SUMIFS(RAB!$F$14:$F$64,RAB!$C$14:$C$64,C325)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SUMIFS(RAB!$F$14:$F$64,RAB!$C$14:$C$64,C326)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SUMIFS(RAB!$F$14:$F$64,RAB!$C$14:$C$64,C327)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SUMIFS(RAB!$F$14:$F$64,RAB!$C$14:$C$64,C328)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SUMIFS(RAB!$F$14:$F$64,RAB!$C$14:$C$64,C329)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SUMIFS(RAB!$F$14:$F$64,RAB!$C$14:$C$64,C330)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SUMIFS(RAB!$F$14:$F$64,RAB!$C$14:$C$64,C331)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SUMIFS(RAB!$F$14:$F$64,RAB!$C$14:$C$64,C332)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SUMIFS(RAB!$F$14:$F$64,RAB!$C$14:$C$64,C333)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SUMIFS(RAB!$F$14:$F$64,RAB!$C$14:$C$64,C334)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SUMIFS(RAB!$F$14:$F$64,RAB!$C$14:$C$64,C335)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SUMIFS(RAB!$F$14:$F$64,RAB!$C$14:$C$64,C336)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SUMIFS(RAB!$F$14:$F$64,RAB!$C$14:$C$64,C337)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SUMIFS(RAB!$F$14:$F$64,RAB!$C$14:$C$64,C338)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SUMIFS(RAB!$F$14:$F$64,RAB!$C$14:$C$64,C339)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SUMIFS(RAB!$F$14:$F$64,RAB!$C$14:$C$64,C340)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SUMIFS(RAB!$F$14:$F$64,RAB!$C$14:$C$64,C341)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SUMIFS(RAB!$F$14:$F$64,RAB!$C$14:$C$64,C342)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SUMIFS(RAB!$F$14:$F$64,RAB!$C$14:$C$64,C343)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SUMIFS(RAB!$F$14:$F$64,RAB!$C$14:$C$64,C344)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SUMIFS(RAB!$F$14:$F$64,RAB!$C$14:$C$64,C345)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SUMIFS(RAB!$F$14:$F$64,RAB!$C$14:$C$64,C346)</f>
        <v>30</v>
      </c>
      <c r="E346" s="24">
        <f t="shared" ca="1" si="22"/>
        <v>1</v>
      </c>
      <c r="F346" s="24">
        <f ca="1">IF(D346=0,0,SUM($E$223:E346))</f>
        <v>4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SUMIFS(RAB!$F$14:$F$64,RAB!$C$14:$C$64,C347)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SUMIFS(RAB!$F$14:$F$64,RAB!$C$14:$C$64,C348)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SUMIFS(RAB!$F$14:$F$64,RAB!$C$14:$C$64,C349)</f>
        <v>20</v>
      </c>
      <c r="E349" s="24">
        <f t="shared" ca="1" si="22"/>
        <v>1</v>
      </c>
      <c r="F349" s="24">
        <f ca="1">IF(D349=0,0,SUM($E$223:E349))</f>
        <v>5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SUMIFS(RAB!$F$14:$F$64,RAB!$C$14:$C$64,C350)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SUMIFS(RAB!$F$14:$F$64,RAB!$C$14:$C$64,C351)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SUMIFS(RAB!$F$14:$F$64,RAB!$C$14:$C$64,C352)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SUMIFS(RAB!$F$14:$F$64,RAB!$C$14:$C$64,C353)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SUMIFS(RAB!$F$14:$F$64,RAB!$C$14:$C$64,C354)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SUMIFS(RAB!$F$14:$F$64,RAB!$C$14:$C$64,C355)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SUMIFS(RAB!$F$14:$F$64,RAB!$C$14:$C$64,C356)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SUMIFS(RAB!$F$14:$F$64,RAB!$C$14:$C$64,C357)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SUMIFS(RAB!$F$14:$F$64,RAB!$C$14:$C$64,C358)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SUMIFS(RAB!$F$14:$F$64,RAB!$C$14:$C$64,C359)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SUMIFS(RAB!$F$14:$F$64,RAB!$C$14:$C$64,C360)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SUMIFS(RAB!$F$14:$F$64,RAB!$C$14:$C$64,C361)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SUMIFS(RAB!$F$14:$F$64,RAB!$C$14:$C$64,C362)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SUMIFS(RAB!$F$14:$F$64,RAB!$C$14:$C$64,C363)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SUMIFS(RAB!$F$14:$F$64,RAB!$C$14:$C$64,C364)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SUMIFS(RAB!$F$14:$F$64,RAB!$C$14:$C$64,C365)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SUMIFS(RAB!$F$14:$F$64,RAB!$C$14:$C$64,C366)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SUMIFS(RAB!$F$14:$F$64,RAB!$C$14:$C$64,C367)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SUMIFS(RAB!$F$14:$F$64,RAB!$C$14:$C$64,C368)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SUMIFS(RAB!$F$14:$F$64,RAB!$C$14:$C$64,C369)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SUMIFS(RAB!$F$14:$F$64,RAB!$C$14:$C$64,C370)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SUMIFS(RAB!$F$14:$F$64,RAB!$C$14:$C$64,C371)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SUMIFS(RAB!$F$14:$F$64,RAB!$C$14:$C$64,C372)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SUMIFS(RAB!$F$14:$F$64,RAB!$C$14:$C$64,C373)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7" priority="5" operator="equal">
      <formula>0</formula>
    </cfRule>
  </conditionalFormatting>
  <conditionalFormatting sqref="C16:C165">
    <cfRule type="cellIs" dxfId="36" priority="4" stopIfTrue="1" operator="equal">
      <formula>0</formula>
    </cfRule>
  </conditionalFormatting>
  <conditionalFormatting sqref="C16:E165">
    <cfRule type="cellIs" dxfId="35" priority="1" operator="equal">
      <formula>0</formula>
    </cfRule>
  </conditionalFormatting>
  <conditionalFormatting sqref="D224:F373">
    <cfRule type="cellIs" dxfId="34" priority="8" operator="equal">
      <formula>0</formula>
    </cfRule>
  </conditionalFormatting>
  <conditionalFormatting sqref="E1:E3 G1:G115 E6:E15 H12:I12 N13 F14:F15 H14:K115 E166:K166 G166:G223 E167:F167 H167:K167">
    <cfRule type="cellIs" dxfId="33" priority="43" stopIfTrue="1" operator="equal">
      <formula>0</formula>
    </cfRule>
  </conditionalFormatting>
  <conditionalFormatting sqref="E171:E65536">
    <cfRule type="cellIs" dxfId="32" priority="9" stopIfTrue="1" operator="equal">
      <formula>0</formula>
    </cfRule>
  </conditionalFormatting>
  <conditionalFormatting sqref="G224">
    <cfRule type="cellIs" dxfId="31" priority="10" operator="equal">
      <formula>0</formula>
    </cfRule>
  </conditionalFormatting>
  <conditionalFormatting sqref="G225:G65536">
    <cfRule type="cellIs" dxfId="30" priority="14" stopIfTrue="1" operator="equal">
      <formula>0</formula>
    </cfRule>
  </conditionalFormatting>
  <conditionalFormatting sqref="R14:T166 G116:K165">
    <cfRule type="cellIs" dxfId="2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9"/>
    </row>
    <row r="4" spans="4:4" ht="57" customHeight="1">
      <c r="D4" s="469">
        <v>3</v>
      </c>
    </row>
    <row r="5" spans="4:4" ht="57" customHeight="1">
      <c r="D5" s="46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1" activePane="bottomRight" state="frozen"/>
      <selection activeCell="D209" sqref="D209"/>
      <selection pane="topRight" activeCell="D209" sqref="D209"/>
      <selection pane="bottomLeft" activeCell="D209" sqref="D209"/>
      <selection pane="bottomRight" activeCell="C230" sqref="C23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6" t="s">
        <v>41</v>
      </c>
      <c r="C2" s="55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7" t="s">
        <v>23</v>
      </c>
      <c r="C4" s="558" t="s">
        <v>1012</v>
      </c>
      <c r="D4" s="558" t="s">
        <v>42</v>
      </c>
      <c r="E4" s="557" t="s">
        <v>43</v>
      </c>
      <c r="F4" s="108" t="s">
        <v>1611</v>
      </c>
      <c r="G4" s="108" t="s">
        <v>1610</v>
      </c>
      <c r="H4" s="555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7"/>
      <c r="C5" s="558"/>
      <c r="D5" s="558"/>
      <c r="E5" s="557"/>
      <c r="F5" s="93"/>
      <c r="G5" s="93"/>
      <c r="H5" s="555"/>
      <c r="I5" s="193" t="s">
        <v>1610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1554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1555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1556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1557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1558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1559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1560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1561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1462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1562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1563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1564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1565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1566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1567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1568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1463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1464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1569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1570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1571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1572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1573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1574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1575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1576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1577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1578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1579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1580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1581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1582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1583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1584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1585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1586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1587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1588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1589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1590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1591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1592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1593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1594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1595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1596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1597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1598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1599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1600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1601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1602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1603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1604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1605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1465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1466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1467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1468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1469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1470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1471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1472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1473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1474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1475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1476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1477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1478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1479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1480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1481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1482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1483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1484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1485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1486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1487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1488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1489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1490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1491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1492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1493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1494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1495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1496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1497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1498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1499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1500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1501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1502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1503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1504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1505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1506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1507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1508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1509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1510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1511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1512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1513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1514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1515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1516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1517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1518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1519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1520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1522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1521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1606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1607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1608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1523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1524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1525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1526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1527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1528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1529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1530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1609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98">
        <v>2740</v>
      </c>
      <c r="G1433" s="49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8" priority="138" operator="equal">
      <formula>0</formula>
    </cfRule>
  </conditionalFormatting>
  <conditionalFormatting sqref="B8:C135">
    <cfRule type="cellIs" dxfId="27" priority="51" operator="equal">
      <formula>0</formula>
    </cfRule>
  </conditionalFormatting>
  <conditionalFormatting sqref="B150:G1493">
    <cfRule type="cellIs" dxfId="26" priority="1" operator="equal">
      <formula>0</formula>
    </cfRule>
  </conditionalFormatting>
  <conditionalFormatting sqref="C143:G149">
    <cfRule type="cellIs" dxfId="25" priority="5" operator="equal">
      <formula>0</formula>
    </cfRule>
  </conditionalFormatting>
  <conditionalFormatting sqref="D9:G142">
    <cfRule type="cellIs" dxfId="24" priority="11" operator="equal">
      <formula>0</formula>
    </cfRule>
  </conditionalFormatting>
  <conditionalFormatting sqref="D1:IV5 A1:C7 D6:K6 H1455:IV1457 H1458:XFD1485 H1486:H1493 I1486:XFD1494 A1494:H1494 A1495:XFD65536">
    <cfRule type="cellIs" dxfId="23" priority="163" operator="equal">
      <formula>0</formula>
    </cfRule>
  </conditionalFormatting>
  <conditionalFormatting sqref="D7:IV8 C136:C142 B136:B149">
    <cfRule type="cellIs" dxfId="22" priority="62" operator="equal">
      <formula>0</formula>
    </cfRule>
  </conditionalFormatting>
  <conditionalFormatting sqref="H9:H1418">
    <cfRule type="cellIs" dxfId="21" priority="129" operator="equal">
      <formula>0</formula>
    </cfRule>
  </conditionalFormatting>
  <conditionalFormatting sqref="H1419:I1454">
    <cfRule type="cellIs" dxfId="20" priority="128" operator="equal">
      <formula>0</formula>
    </cfRule>
  </conditionalFormatting>
  <conditionalFormatting sqref="I108:I1418">
    <cfRule type="cellIs" dxfId="19" priority="125" operator="equal">
      <formula>0</formula>
    </cfRule>
  </conditionalFormatting>
  <conditionalFormatting sqref="J108:IV1454">
    <cfRule type="cellIs" dxfId="18" priority="139" operator="equal">
      <formula>0</formula>
    </cfRule>
  </conditionalFormatting>
  <conditionalFormatting sqref="M6:IV6">
    <cfRule type="cellIs" dxfId="17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M15" sqref="M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0" t="s">
        <v>1454</v>
      </c>
      <c r="C2" s="590"/>
      <c r="D2" s="590"/>
      <c r="E2" s="590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5" t="s">
        <v>1536</v>
      </c>
      <c r="C4" s="596"/>
      <c r="D4" s="596"/>
      <c r="E4" s="597"/>
      <c r="F4" s="451"/>
      <c r="G4" s="451"/>
      <c r="H4" s="452"/>
      <c r="I4" s="559" t="s">
        <v>1537</v>
      </c>
      <c r="J4" s="560"/>
      <c r="K4" s="560"/>
      <c r="L4" s="561"/>
    </row>
    <row r="5" spans="1:12" ht="34.5" customHeight="1">
      <c r="A5" s="204"/>
      <c r="B5" s="454" t="s">
        <v>1379</v>
      </c>
      <c r="C5" s="277" t="s">
        <v>9</v>
      </c>
      <c r="D5" s="591" t="str">
        <f>DATA!D14</f>
        <v>PB XL-JAW-JT-PWD-4024 GENTING SEDO</v>
      </c>
      <c r="E5" s="592"/>
      <c r="F5" s="208"/>
      <c r="G5" s="208"/>
      <c r="I5" s="455" t="s">
        <v>1379</v>
      </c>
      <c r="J5" s="277" t="s">
        <v>9</v>
      </c>
      <c r="K5" s="562" t="str">
        <f>D5</f>
        <v>PB XL-JAW-JT-PWD-4024 GENTING SEDO</v>
      </c>
      <c r="L5" s="563"/>
    </row>
    <row r="6" spans="1:12" ht="31.5" customHeight="1">
      <c r="A6" s="204"/>
      <c r="B6" s="454" t="s">
        <v>1533</v>
      </c>
      <c r="C6" s="277" t="s">
        <v>9</v>
      </c>
      <c r="D6" s="600">
        <f>DATA!D17*1000</f>
        <v>0</v>
      </c>
      <c r="E6" s="601"/>
      <c r="F6" s="208"/>
      <c r="G6" s="208"/>
      <c r="I6" s="455" t="s">
        <v>1534</v>
      </c>
      <c r="J6" s="277" t="s">
        <v>9</v>
      </c>
      <c r="K6" s="564">
        <f>DATA!D20*1000</f>
        <v>10600</v>
      </c>
      <c r="L6" s="565"/>
    </row>
    <row r="7" spans="1:12" ht="30.75" customHeight="1">
      <c r="A7" s="204"/>
      <c r="B7" s="454" t="s">
        <v>1441</v>
      </c>
      <c r="C7" s="277" t="s">
        <v>9</v>
      </c>
      <c r="D7" s="598">
        <f>DATA!D18</f>
        <v>1</v>
      </c>
      <c r="E7" s="599"/>
      <c r="F7" s="453" t="s">
        <v>1453</v>
      </c>
      <c r="I7" s="455" t="s">
        <v>1441</v>
      </c>
      <c r="J7" s="277" t="s">
        <v>9</v>
      </c>
      <c r="K7" s="566">
        <f>DATA!D21</f>
        <v>1</v>
      </c>
      <c r="L7" s="567"/>
    </row>
    <row r="8" spans="1:12" ht="51" customHeight="1">
      <c r="A8" s="204"/>
      <c r="B8" s="454" t="s">
        <v>1442</v>
      </c>
      <c r="C8" s="277" t="s">
        <v>9</v>
      </c>
      <c r="D8" s="598">
        <f>DATA!D19</f>
        <v>220</v>
      </c>
      <c r="E8" s="599"/>
      <c r="F8" s="453" t="s">
        <v>1453</v>
      </c>
      <c r="G8" s="448">
        <v>220</v>
      </c>
      <c r="I8" s="455" t="s">
        <v>1442</v>
      </c>
      <c r="J8" s="277" t="s">
        <v>9</v>
      </c>
      <c r="K8" s="566">
        <f>DATA!D22</f>
        <v>220</v>
      </c>
      <c r="L8" s="567"/>
    </row>
    <row r="9" spans="1:12" ht="30" customHeight="1" thickBot="1">
      <c r="A9" s="204"/>
      <c r="B9" s="460" t="s">
        <v>1545</v>
      </c>
      <c r="C9" s="450" t="s">
        <v>9</v>
      </c>
      <c r="D9" s="593">
        <f>IF(D7=1,D6/(380/3^0.5),(D6/(380*3^0.5)))</f>
        <v>0</v>
      </c>
      <c r="E9" s="594"/>
      <c r="F9" s="207"/>
      <c r="G9" s="449">
        <v>380</v>
      </c>
      <c r="I9" s="461" t="s">
        <v>1545</v>
      </c>
      <c r="J9" s="450" t="s">
        <v>9</v>
      </c>
      <c r="K9" s="570">
        <f>IF(K7=1,K6/(380/3^0.5),(K6/(380*3^0.5)))</f>
        <v>48.315101474289733</v>
      </c>
      <c r="L9" s="571"/>
    </row>
    <row r="10" spans="1:12" ht="24.75" customHeight="1">
      <c r="B10" s="462"/>
      <c r="C10" s="459"/>
      <c r="D10" s="463"/>
      <c r="E10" s="463"/>
      <c r="F10" s="207"/>
      <c r="G10" s="449"/>
      <c r="I10" s="462"/>
      <c r="J10" s="459"/>
      <c r="K10" s="463"/>
      <c r="L10" s="463"/>
    </row>
    <row r="11" spans="1:12" ht="16.5" thickBot="1">
      <c r="B11" s="456" t="s">
        <v>1546</v>
      </c>
      <c r="I11" s="456" t="s">
        <v>1540</v>
      </c>
    </row>
    <row r="12" spans="1:12" ht="34.5" customHeight="1">
      <c r="A12" s="204"/>
      <c r="B12" s="484" t="s">
        <v>1538</v>
      </c>
      <c r="C12" s="478" t="s">
        <v>9</v>
      </c>
      <c r="D12" s="602"/>
      <c r="E12" s="603"/>
      <c r="F12" s="208"/>
      <c r="G12" s="208"/>
      <c r="I12" s="477" t="s">
        <v>1538</v>
      </c>
      <c r="J12" s="478" t="s">
        <v>9</v>
      </c>
      <c r="K12" s="602"/>
      <c r="L12" s="603"/>
    </row>
    <row r="13" spans="1:12" ht="31.5" customHeight="1">
      <c r="A13" s="204"/>
      <c r="B13" s="485" t="s">
        <v>1380</v>
      </c>
      <c r="C13" s="465" t="s">
        <v>9</v>
      </c>
      <c r="D13" s="568"/>
      <c r="E13" s="569"/>
      <c r="F13" s="208"/>
      <c r="G13" s="208"/>
      <c r="I13" s="479" t="s">
        <v>1380</v>
      </c>
      <c r="J13" s="465" t="s">
        <v>9</v>
      </c>
      <c r="K13" s="568"/>
      <c r="L13" s="569"/>
    </row>
    <row r="14" spans="1:12" ht="30.75" customHeight="1">
      <c r="A14" s="204"/>
      <c r="B14" s="485" t="s">
        <v>1539</v>
      </c>
      <c r="C14" s="465" t="s">
        <v>9</v>
      </c>
      <c r="D14" s="572">
        <v>50</v>
      </c>
      <c r="E14" s="573"/>
      <c r="F14" s="453" t="s">
        <v>1453</v>
      </c>
      <c r="G14" s="457">
        <v>50</v>
      </c>
      <c r="I14" s="479" t="s">
        <v>1539</v>
      </c>
      <c r="J14" s="465" t="s">
        <v>9</v>
      </c>
      <c r="K14" s="574">
        <v>50</v>
      </c>
      <c r="L14" s="575"/>
    </row>
    <row r="15" spans="1:12" ht="57" customHeight="1">
      <c r="A15" s="204"/>
      <c r="B15" s="485" t="s">
        <v>1441</v>
      </c>
      <c r="C15" s="465" t="s">
        <v>9</v>
      </c>
      <c r="D15" s="471">
        <v>3</v>
      </c>
      <c r="E15" s="480"/>
      <c r="F15" s="453" t="s">
        <v>1453</v>
      </c>
      <c r="G15" s="457">
        <v>100</v>
      </c>
      <c r="I15" s="479" t="s">
        <v>1441</v>
      </c>
      <c r="J15" s="465" t="s">
        <v>9</v>
      </c>
      <c r="K15" s="471">
        <v>3</v>
      </c>
      <c r="L15" s="480"/>
    </row>
    <row r="16" spans="1:12" ht="44.25" customHeight="1">
      <c r="A16" s="204"/>
      <c r="B16" s="485" t="s">
        <v>1549</v>
      </c>
      <c r="C16" s="465"/>
      <c r="D16" s="576">
        <v>65</v>
      </c>
      <c r="E16" s="577"/>
      <c r="F16" s="453"/>
      <c r="G16" s="457">
        <v>160</v>
      </c>
      <c r="I16" s="479" t="s">
        <v>1541</v>
      </c>
      <c r="J16" s="465" t="s">
        <v>9</v>
      </c>
      <c r="K16" s="580">
        <f>K9</f>
        <v>48.315101474289733</v>
      </c>
      <c r="L16" s="581"/>
    </row>
    <row r="17" spans="1:12" ht="34.5" customHeight="1">
      <c r="A17" s="204"/>
      <c r="B17" s="485" t="s">
        <v>1542</v>
      </c>
      <c r="C17" s="465" t="s">
        <v>9</v>
      </c>
      <c r="D17" s="578">
        <f>IF(D15=1,D14/(20/3^0.5),(D14/(20*3^0.5)))</f>
        <v>1.4433756729740645</v>
      </c>
      <c r="E17" s="579"/>
      <c r="F17" s="453" t="s">
        <v>1453</v>
      </c>
      <c r="G17" s="458">
        <v>200</v>
      </c>
      <c r="I17" s="479" t="s">
        <v>1542</v>
      </c>
      <c r="J17" s="465" t="s">
        <v>9</v>
      </c>
      <c r="K17" s="584">
        <f>IF(K15=1,K14/(20/3^0.5),(K14/(20*3^0.5)))</f>
        <v>1.4433756729740645</v>
      </c>
      <c r="L17" s="585"/>
    </row>
    <row r="18" spans="1:12" ht="34.5" customHeight="1">
      <c r="A18" s="204"/>
      <c r="B18" s="485" t="s">
        <v>1543</v>
      </c>
      <c r="C18" s="465" t="s">
        <v>9</v>
      </c>
      <c r="D18" s="578">
        <f>IF(D15=1,D14/(380/3^0.5),(D14/(380*3^0.5)))*1000</f>
        <v>75.96714068284551</v>
      </c>
      <c r="E18" s="579"/>
      <c r="F18" s="453" t="s">
        <v>1453</v>
      </c>
      <c r="G18" s="458">
        <v>250</v>
      </c>
      <c r="I18" s="479" t="s">
        <v>1543</v>
      </c>
      <c r="J18" s="465" t="s">
        <v>9</v>
      </c>
      <c r="K18" s="584">
        <f>IF(K15=1,K14/(380/3^0.5),(K14/(380*3^0.5)))*1000</f>
        <v>75.96714068284551</v>
      </c>
      <c r="L18" s="585"/>
    </row>
    <row r="19" spans="1:12" ht="30" customHeight="1">
      <c r="A19" s="204"/>
      <c r="B19" s="486" t="s">
        <v>1535</v>
      </c>
      <c r="C19" s="464" t="s">
        <v>9</v>
      </c>
      <c r="D19" s="578">
        <f>IF(D15=1,D14/(380/3^0.5),(D14/(380*3^0.5)))</f>
        <v>7.5967140682845505E-2</v>
      </c>
      <c r="E19" s="579"/>
      <c r="F19" s="207"/>
      <c r="G19" s="449"/>
      <c r="I19" s="481" t="s">
        <v>1535</v>
      </c>
      <c r="J19" s="464" t="s">
        <v>9</v>
      </c>
      <c r="K19" s="584">
        <f>IF(K15=1,K14/(380/3^0.5),(K14/(380*3^0.5)))</f>
        <v>7.5967140682845505E-2</v>
      </c>
      <c r="L19" s="585"/>
    </row>
    <row r="20" spans="1:12" ht="30" customHeight="1" thickBot="1">
      <c r="A20" s="204"/>
      <c r="B20" s="487" t="s">
        <v>1544</v>
      </c>
      <c r="C20" s="483" t="s">
        <v>9</v>
      </c>
      <c r="D20" s="604">
        <f>D16/D18</f>
        <v>0.85563309893902517</v>
      </c>
      <c r="E20" s="605"/>
      <c r="F20" s="207"/>
      <c r="G20" s="449"/>
      <c r="I20" s="482" t="s">
        <v>1535</v>
      </c>
      <c r="J20" s="483" t="s">
        <v>9</v>
      </c>
      <c r="K20" s="582">
        <f>K16/K18</f>
        <v>0.6359999999999999</v>
      </c>
      <c r="L20" s="583"/>
    </row>
    <row r="21" spans="1:12" ht="9.75" customHeight="1">
      <c r="A21" s="204"/>
      <c r="B21" s="472" t="s">
        <v>1544</v>
      </c>
      <c r="C21" s="473" t="s">
        <v>9</v>
      </c>
      <c r="D21" s="589">
        <v>1</v>
      </c>
      <c r="E21" s="589"/>
      <c r="F21" s="474"/>
      <c r="G21" s="475"/>
      <c r="H21" s="476"/>
      <c r="I21" s="472" t="s">
        <v>1535</v>
      </c>
      <c r="J21" s="473" t="s">
        <v>9</v>
      </c>
      <c r="K21" s="589">
        <v>1</v>
      </c>
      <c r="L21" s="589"/>
    </row>
    <row r="22" spans="1:12" ht="6.75" customHeight="1">
      <c r="B22" s="462"/>
      <c r="C22" s="459"/>
      <c r="D22" s="470"/>
      <c r="E22" s="470"/>
      <c r="F22" s="207"/>
      <c r="G22" s="449"/>
      <c r="J22" s="459"/>
      <c r="K22" s="470"/>
      <c r="L22" s="470"/>
    </row>
    <row r="23" spans="1:12" ht="15.75" thickBot="1"/>
    <row r="24" spans="1:12" ht="200.25" customHeight="1" thickBot="1">
      <c r="B24" s="586"/>
      <c r="C24" s="587"/>
      <c r="D24" s="587"/>
      <c r="E24" s="588"/>
      <c r="I24" s="586"/>
      <c r="J24" s="587"/>
      <c r="K24" s="587"/>
      <c r="L24" s="588"/>
    </row>
    <row r="26" spans="1:12">
      <c r="D26" s="467"/>
    </row>
    <row r="27" spans="1:12">
      <c r="D27" s="46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6" priority="5" stopIfTrue="1" operator="greaterThan">
      <formula>0.89</formula>
    </cfRule>
    <cfRule type="cellIs" dxfId="1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zoomScaleNormal="100" workbookViewId="0">
      <selection activeCell="J24" sqref="J24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6"/>
      <c r="C1" s="606"/>
      <c r="D1" s="606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501">
        <v>1084.1250458865841</v>
      </c>
      <c r="F5" s="496" t="s">
        <v>1612</v>
      </c>
      <c r="K5" s="49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9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10.6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10271400</v>
      </c>
    </row>
    <row r="10" spans="2:11" ht="20.100000000000001" customHeight="1">
      <c r="B10" s="291" t="s">
        <v>1446</v>
      </c>
      <c r="C10" s="292" t="s">
        <v>9</v>
      </c>
      <c r="D10" s="298">
        <f ca="1">RAB!K70</f>
        <v>18059727.16725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361194.54334500001</v>
      </c>
    </row>
    <row r="12" spans="2:11" ht="9" customHeight="1">
      <c r="B12" s="607"/>
      <c r="C12" s="607"/>
      <c r="D12" s="607"/>
    </row>
    <row r="13" spans="2:11" ht="15.75" customHeight="1">
      <c r="B13" s="299"/>
      <c r="C13" s="299"/>
      <c r="D13" s="299"/>
    </row>
    <row r="14" spans="2:11" ht="33.75" customHeight="1">
      <c r="B14" s="424" t="s">
        <v>1379</v>
      </c>
      <c r="C14" s="425" t="s">
        <v>9</v>
      </c>
      <c r="D14" s="430" t="s">
        <v>1618</v>
      </c>
      <c r="E14" s="300" t="s">
        <v>1453</v>
      </c>
    </row>
    <row r="15" spans="2:11" ht="20.100000000000001" customHeight="1">
      <c r="B15" s="426" t="s">
        <v>1447</v>
      </c>
      <c r="C15" s="427" t="s">
        <v>9</v>
      </c>
      <c r="D15" s="431" t="s">
        <v>1615</v>
      </c>
      <c r="E15" s="300" t="s">
        <v>1453</v>
      </c>
    </row>
    <row r="16" spans="2:11" ht="20.100000000000001" customHeight="1">
      <c r="B16" s="426" t="s">
        <v>1448</v>
      </c>
      <c r="C16" s="427" t="s">
        <v>9</v>
      </c>
      <c r="D16" s="431" t="s">
        <v>1451</v>
      </c>
      <c r="E16" s="300" t="s">
        <v>1453</v>
      </c>
    </row>
    <row r="17" spans="2:5" ht="20.100000000000001" customHeight="1">
      <c r="B17" s="426" t="s">
        <v>1449</v>
      </c>
      <c r="C17" s="427" t="s">
        <v>9</v>
      </c>
      <c r="D17" s="432">
        <v>0</v>
      </c>
      <c r="E17" s="300" t="s">
        <v>1453</v>
      </c>
    </row>
    <row r="18" spans="2:5" ht="20.100000000000001" hidden="1" customHeight="1">
      <c r="B18" s="426" t="s">
        <v>1547</v>
      </c>
      <c r="C18" s="427"/>
      <c r="D18" s="432">
        <f>IF((D17&lt;=11),1,3)</f>
        <v>1</v>
      </c>
      <c r="E18" s="300"/>
    </row>
    <row r="19" spans="2:5" ht="20.100000000000001" hidden="1" customHeight="1">
      <c r="B19" s="426" t="s">
        <v>1548</v>
      </c>
      <c r="C19" s="427"/>
      <c r="D19" s="432">
        <f>IF((D17&lt;=11),220,380)</f>
        <v>220</v>
      </c>
      <c r="E19" s="300"/>
    </row>
    <row r="20" spans="2:5" ht="20.100000000000001" customHeight="1">
      <c r="B20" s="426" t="s">
        <v>1450</v>
      </c>
      <c r="C20" s="427" t="s">
        <v>9</v>
      </c>
      <c r="D20" s="432">
        <v>10.6</v>
      </c>
      <c r="E20" s="300" t="s">
        <v>1453</v>
      </c>
    </row>
    <row r="21" spans="2:5" ht="20.100000000000001" hidden="1" customHeight="1">
      <c r="B21" s="426" t="s">
        <v>1547</v>
      </c>
      <c r="C21" s="427"/>
      <c r="D21" s="432">
        <f>IF((D20&lt;=11),1,3)</f>
        <v>1</v>
      </c>
      <c r="E21" s="300"/>
    </row>
    <row r="22" spans="2:5" ht="20.100000000000001" hidden="1" customHeight="1">
      <c r="B22" s="426" t="s">
        <v>1548</v>
      </c>
      <c r="C22" s="427"/>
      <c r="D22" s="432">
        <f>IF((D20&lt;=11),220,380)</f>
        <v>220</v>
      </c>
      <c r="E22" s="300"/>
    </row>
    <row r="23" spans="2:5" ht="20.100000000000001" customHeight="1">
      <c r="B23" s="426" t="s">
        <v>1353</v>
      </c>
      <c r="C23" s="427" t="s">
        <v>9</v>
      </c>
      <c r="D23" s="431">
        <v>1444.7</v>
      </c>
      <c r="E23" s="300" t="s">
        <v>1453</v>
      </c>
    </row>
    <row r="24" spans="2:5" ht="20.100000000000001" customHeight="1">
      <c r="B24" s="426" t="s">
        <v>1354</v>
      </c>
      <c r="C24" s="427" t="s">
        <v>9</v>
      </c>
      <c r="D24" s="431">
        <v>1444.7</v>
      </c>
      <c r="E24" s="300" t="s">
        <v>1453</v>
      </c>
    </row>
    <row r="25" spans="2:5" ht="20.100000000000001" customHeight="1">
      <c r="B25" s="426" t="s">
        <v>1452</v>
      </c>
      <c r="C25" s="427" t="s">
        <v>9</v>
      </c>
      <c r="D25" s="432">
        <v>969</v>
      </c>
      <c r="E25" s="300" t="s">
        <v>1453</v>
      </c>
    </row>
    <row r="26" spans="2:5" ht="20.100000000000001" customHeight="1">
      <c r="B26" s="428" t="s">
        <v>1355</v>
      </c>
      <c r="C26" s="429" t="s">
        <v>9</v>
      </c>
      <c r="D26" s="433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T39" sqref="A1:T39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4" t="s">
        <v>1357</v>
      </c>
      <c r="C3" s="614"/>
      <c r="D3" s="614"/>
      <c r="E3" s="614"/>
      <c r="F3" s="305" t="str">
        <f>DATA!D14</f>
        <v>PB XL-JAW-JT-PWD-4024 GENTING SEDO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8" t="s">
        <v>1349</v>
      </c>
      <c r="C5" s="608" t="s">
        <v>1358</v>
      </c>
      <c r="D5" s="613" t="s">
        <v>1359</v>
      </c>
      <c r="E5" s="613" t="s">
        <v>1360</v>
      </c>
      <c r="F5" s="608" t="s">
        <v>1361</v>
      </c>
      <c r="G5" s="608"/>
      <c r="H5" s="608"/>
      <c r="I5" s="608"/>
      <c r="J5" s="608"/>
      <c r="K5" s="608" t="s">
        <v>1362</v>
      </c>
      <c r="L5" s="608"/>
      <c r="M5" s="307"/>
      <c r="N5" s="611" t="s">
        <v>1363</v>
      </c>
      <c r="O5" s="613" t="s">
        <v>1364</v>
      </c>
      <c r="P5" s="613" t="s">
        <v>1365</v>
      </c>
      <c r="Q5" s="613" t="s">
        <v>1366</v>
      </c>
      <c r="R5" s="308"/>
      <c r="S5" s="309"/>
      <c r="T5" s="609" t="s">
        <v>1367</v>
      </c>
      <c r="U5" s="310"/>
    </row>
    <row r="6" spans="1:21" ht="20.100000000000001" customHeight="1">
      <c r="B6" s="608"/>
      <c r="C6" s="608"/>
      <c r="D6" s="608"/>
      <c r="E6" s="608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2"/>
      <c r="O6" s="608"/>
      <c r="P6" s="608"/>
      <c r="Q6" s="608"/>
      <c r="R6" s="308"/>
      <c r="S6" s="309"/>
      <c r="T6" s="608"/>
      <c r="U6" s="312"/>
    </row>
    <row r="7" spans="1:21" ht="20.100000000000001" customHeight="1">
      <c r="A7" s="313">
        <v>0</v>
      </c>
      <c r="B7" s="314">
        <v>2023</v>
      </c>
      <c r="C7" s="488">
        <f>DATA!D8*DATA!D26*8</f>
        <v>3392</v>
      </c>
      <c r="D7" s="316">
        <f>C7*4/24</f>
        <v>565.33333333333337</v>
      </c>
      <c r="E7" s="316">
        <f>C7-D7</f>
        <v>2826.6666666666665</v>
      </c>
      <c r="F7" s="317">
        <f ca="1">DATA!D10/1000000</f>
        <v>18.059727167249999</v>
      </c>
      <c r="G7" s="318">
        <f ca="1">DATA!$D$11/1000000</f>
        <v>0.36119454334500001</v>
      </c>
      <c r="H7" s="318">
        <f>C7*DATA!$D$5/1000000</f>
        <v>3.6773521556472932</v>
      </c>
      <c r="I7" s="318">
        <f>(C7*DATA!$D$5*DATA!$D$7)/1000000</f>
        <v>8.2740423502064092E-2</v>
      </c>
      <c r="J7" s="316">
        <f ca="1">SUM(F7:I7)</f>
        <v>22.181014289744358</v>
      </c>
      <c r="K7" s="319">
        <f>DATA!D9/1000000</f>
        <v>10.2714</v>
      </c>
      <c r="L7" s="316">
        <f>((D7*DATA!$D$23)/1000000)+((E7*DATA!$D$24)/1000000)</f>
        <v>4.9004224000000001</v>
      </c>
      <c r="M7" s="316">
        <f>K7+L7</f>
        <v>15.1718224</v>
      </c>
      <c r="N7" s="316">
        <f ca="1">M7-J7</f>
        <v>-7.0091918897443577</v>
      </c>
      <c r="O7" s="314">
        <v>1</v>
      </c>
      <c r="P7" s="316">
        <f ca="1">O7*N7</f>
        <v>-7.0091918897443577</v>
      </c>
      <c r="Q7" s="316">
        <f ca="1">P7</f>
        <v>-7.0091918897443577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5088</v>
      </c>
      <c r="D8" s="316">
        <f>C8*4/24</f>
        <v>848</v>
      </c>
      <c r="E8" s="316">
        <f t="shared" ref="E8:E32" si="0">C8-D8</f>
        <v>4240</v>
      </c>
      <c r="F8" s="314"/>
      <c r="G8" s="318">
        <f ca="1">DATA!$D$11/1000000</f>
        <v>0.36119454334500001</v>
      </c>
      <c r="H8" s="318">
        <f>C8*DATA!$D$5/1000000</f>
        <v>5.5160282334709398</v>
      </c>
      <c r="I8" s="318">
        <f>(C8*DATA!$D$5*DATA!$D$7)/1000000</f>
        <v>0.12411063525309614</v>
      </c>
      <c r="J8" s="316">
        <f t="shared" ref="J8:J32" ca="1" si="1">SUM(F8:I8)</f>
        <v>6.0013334120690365</v>
      </c>
      <c r="K8" s="321"/>
      <c r="L8" s="316">
        <f>((D8*DATA!$D$23)/1000000)+((E8*DATA!$D$24)/1000000)</f>
        <v>7.3506336000000001</v>
      </c>
      <c r="M8" s="316">
        <f t="shared" ref="M8:M32" si="2">K8+L8</f>
        <v>7.3506336000000001</v>
      </c>
      <c r="N8" s="316">
        <f ca="1">M8-J8</f>
        <v>1.3493001879309636</v>
      </c>
      <c r="O8" s="315">
        <f>1/(1+'[93]Asumsi I'!$C$3)^(KKF!A8)</f>
        <v>0.89285714285714279</v>
      </c>
      <c r="P8" s="316">
        <f ca="1">O8*N8</f>
        <v>1.204732310652646</v>
      </c>
      <c r="Q8" s="316">
        <f ca="1">Q7+P8</f>
        <v>-5.804459579091712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5088</v>
      </c>
      <c r="D9" s="316">
        <f t="shared" ref="D9:D32" si="5">C9*4/24</f>
        <v>848</v>
      </c>
      <c r="E9" s="316">
        <f t="shared" si="0"/>
        <v>4240</v>
      </c>
      <c r="F9" s="314"/>
      <c r="G9" s="318">
        <f ca="1">DATA!$D$11/1000000</f>
        <v>0.36119454334500001</v>
      </c>
      <c r="H9" s="318">
        <f>C9*DATA!$D$5/1000000</f>
        <v>5.5160282334709398</v>
      </c>
      <c r="I9" s="318">
        <f>(C9*DATA!$D$5*DATA!$D$7)/1000000</f>
        <v>0.12411063525309614</v>
      </c>
      <c r="J9" s="316">
        <f t="shared" ca="1" si="1"/>
        <v>6.0013334120690365</v>
      </c>
      <c r="K9" s="316"/>
      <c r="L9" s="316">
        <f>((D9*DATA!$D$23)/1000000)+((E9*DATA!$D$24)/1000000)</f>
        <v>7.3506336000000001</v>
      </c>
      <c r="M9" s="316">
        <f t="shared" si="2"/>
        <v>7.3506336000000001</v>
      </c>
      <c r="N9" s="316">
        <f t="shared" ref="N9:N32" ca="1" si="6">M9-J9</f>
        <v>1.3493001879309636</v>
      </c>
      <c r="O9" s="322">
        <f>1/(1+'[93]Asumsi I'!$C$3)^(KKF!A9)</f>
        <v>0.79719387755102034</v>
      </c>
      <c r="P9" s="316">
        <f t="shared" ref="P9:P32" ca="1" si="7">O9*N9</f>
        <v>1.0756538487970053</v>
      </c>
      <c r="Q9" s="316">
        <f ca="1">Q8+P9</f>
        <v>-4.7288057302947069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5088</v>
      </c>
      <c r="D10" s="316">
        <f t="shared" si="5"/>
        <v>848</v>
      </c>
      <c r="E10" s="316">
        <f t="shared" si="0"/>
        <v>4240</v>
      </c>
      <c r="F10" s="314"/>
      <c r="G10" s="318">
        <f ca="1">DATA!$D$11/1000000</f>
        <v>0.36119454334500001</v>
      </c>
      <c r="H10" s="318">
        <f>C10*DATA!$D$5/1000000</f>
        <v>5.5160282334709398</v>
      </c>
      <c r="I10" s="318">
        <f>(C10*DATA!$D$5*DATA!$D$7)/1000000</f>
        <v>0.12411063525309614</v>
      </c>
      <c r="J10" s="316">
        <f t="shared" ca="1" si="1"/>
        <v>6.0013334120690365</v>
      </c>
      <c r="K10" s="314"/>
      <c r="L10" s="316">
        <f>((D10*DATA!$D$23)/1000000)+((E10*DATA!$D$24)/1000000)</f>
        <v>7.3506336000000001</v>
      </c>
      <c r="M10" s="316">
        <f t="shared" si="2"/>
        <v>7.3506336000000001</v>
      </c>
      <c r="N10" s="316">
        <f t="shared" ca="1" si="6"/>
        <v>1.3493001879309636</v>
      </c>
      <c r="O10" s="315">
        <f>1/(1+'[93]Asumsi I'!$C$3)^(KKF!A10)</f>
        <v>0.71178024781341087</v>
      </c>
      <c r="P10" s="316">
        <f t="shared" ca="1" si="7"/>
        <v>0.9604052221401832</v>
      </c>
      <c r="Q10" s="316">
        <f t="shared" ref="Q10:Q30" ca="1" si="9">Q9+P10</f>
        <v>-3.7684005081545235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5088</v>
      </c>
      <c r="D11" s="316">
        <f t="shared" si="5"/>
        <v>848</v>
      </c>
      <c r="E11" s="316">
        <f t="shared" si="0"/>
        <v>4240</v>
      </c>
      <c r="F11" s="314"/>
      <c r="G11" s="318">
        <f ca="1">DATA!$D$11/1000000</f>
        <v>0.36119454334500001</v>
      </c>
      <c r="H11" s="318">
        <f>C11*DATA!$D$5/1000000</f>
        <v>5.5160282334709398</v>
      </c>
      <c r="I11" s="318">
        <f>(C11*DATA!$D$5*DATA!$D$7)/1000000</f>
        <v>0.12411063525309614</v>
      </c>
      <c r="J11" s="316">
        <f t="shared" ca="1" si="1"/>
        <v>6.0013334120690365</v>
      </c>
      <c r="K11" s="314"/>
      <c r="L11" s="316">
        <f>((D11*DATA!$D$23)/1000000)+((E11*DATA!$D$24)/1000000)</f>
        <v>7.3506336000000001</v>
      </c>
      <c r="M11" s="316">
        <f t="shared" si="2"/>
        <v>7.3506336000000001</v>
      </c>
      <c r="N11" s="316">
        <f t="shared" ca="1" si="6"/>
        <v>1.3493001879309636</v>
      </c>
      <c r="O11" s="315">
        <f>1/(1+'[93]Asumsi I'!$C$3)^(KKF!A11)</f>
        <v>0.63551807840483121</v>
      </c>
      <c r="P11" s="316">
        <f t="shared" ca="1" si="7"/>
        <v>0.85750466262516367</v>
      </c>
      <c r="Q11" s="316">
        <f t="shared" ca="1" si="9"/>
        <v>-2.9108958455293599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5088</v>
      </c>
      <c r="D12" s="316">
        <f t="shared" si="5"/>
        <v>848</v>
      </c>
      <c r="E12" s="316">
        <f t="shared" si="0"/>
        <v>4240</v>
      </c>
      <c r="F12" s="314"/>
      <c r="G12" s="318">
        <f ca="1">DATA!$D$11/1000000</f>
        <v>0.36119454334500001</v>
      </c>
      <c r="H12" s="318">
        <f>C12*DATA!$D$5/1000000</f>
        <v>5.5160282334709398</v>
      </c>
      <c r="I12" s="318">
        <f>(C12*DATA!$D$5*DATA!$D$7)/1000000</f>
        <v>0.12411063525309614</v>
      </c>
      <c r="J12" s="316">
        <f t="shared" ca="1" si="1"/>
        <v>6.0013334120690365</v>
      </c>
      <c r="K12" s="314"/>
      <c r="L12" s="316">
        <f>((D12*DATA!$D$23)/1000000)+((E12*DATA!$D$24)/1000000)</f>
        <v>7.3506336000000001</v>
      </c>
      <c r="M12" s="316">
        <f t="shared" si="2"/>
        <v>7.3506336000000001</v>
      </c>
      <c r="N12" s="316">
        <f t="shared" ca="1" si="6"/>
        <v>1.3493001879309636</v>
      </c>
      <c r="O12" s="315">
        <f>1/(1+'[93]Asumsi I'!$C$3)^(KKF!A12)</f>
        <v>0.56742685571859919</v>
      </c>
      <c r="P12" s="316">
        <f t="shared" ca="1" si="7"/>
        <v>0.76562916305818163</v>
      </c>
      <c r="Q12" s="316">
        <f t="shared" ca="1" si="9"/>
        <v>-2.1452666824711781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5088</v>
      </c>
      <c r="D13" s="316">
        <f t="shared" si="5"/>
        <v>848</v>
      </c>
      <c r="E13" s="316">
        <f t="shared" si="0"/>
        <v>4240</v>
      </c>
      <c r="F13" s="314"/>
      <c r="G13" s="318">
        <f ca="1">DATA!$D$11/1000000</f>
        <v>0.36119454334500001</v>
      </c>
      <c r="H13" s="318">
        <f>C13*DATA!$D$5/1000000</f>
        <v>5.5160282334709398</v>
      </c>
      <c r="I13" s="318">
        <f>(C13*DATA!$D$5*DATA!$D$7)/1000000</f>
        <v>0.12411063525309614</v>
      </c>
      <c r="J13" s="316">
        <f t="shared" ca="1" si="1"/>
        <v>6.0013334120690365</v>
      </c>
      <c r="K13" s="314"/>
      <c r="L13" s="316">
        <f>((D13*DATA!$D$23)/1000000)+((E13*DATA!$D$24)/1000000)</f>
        <v>7.3506336000000001</v>
      </c>
      <c r="M13" s="316">
        <f t="shared" si="2"/>
        <v>7.3506336000000001</v>
      </c>
      <c r="N13" s="316">
        <f t="shared" ca="1" si="6"/>
        <v>1.3493001879309636</v>
      </c>
      <c r="O13" s="315">
        <f>1/(1+'[93]Asumsi I'!$C$3)^(KKF!A13)</f>
        <v>0.50663112117732068</v>
      </c>
      <c r="P13" s="316">
        <f t="shared" ca="1" si="7"/>
        <v>0.68359746701623358</v>
      </c>
      <c r="Q13" s="316">
        <f t="shared" ca="1" si="9"/>
        <v>-1.4616692154549447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5088</v>
      </c>
      <c r="D14" s="316">
        <f t="shared" si="5"/>
        <v>848</v>
      </c>
      <c r="E14" s="316">
        <f t="shared" si="0"/>
        <v>4240</v>
      </c>
      <c r="F14" s="314"/>
      <c r="G14" s="318">
        <f ca="1">DATA!$D$11/1000000</f>
        <v>0.36119454334500001</v>
      </c>
      <c r="H14" s="318">
        <f>C14*DATA!$D$5/1000000</f>
        <v>5.5160282334709398</v>
      </c>
      <c r="I14" s="318">
        <f>(C14*DATA!$D$5*DATA!$D$7)/1000000</f>
        <v>0.12411063525309614</v>
      </c>
      <c r="J14" s="316">
        <f t="shared" ca="1" si="1"/>
        <v>6.0013334120690365</v>
      </c>
      <c r="K14" s="314"/>
      <c r="L14" s="316">
        <f>((D14*DATA!$D$23)/1000000)+((E14*DATA!$D$24)/1000000)</f>
        <v>7.3506336000000001</v>
      </c>
      <c r="M14" s="316">
        <f t="shared" si="2"/>
        <v>7.3506336000000001</v>
      </c>
      <c r="N14" s="316">
        <f t="shared" ca="1" si="6"/>
        <v>1.3493001879309636</v>
      </c>
      <c r="O14" s="315">
        <f>1/(1+'[93]Asumsi I'!$C$3)^(KKF!A14)</f>
        <v>0.45234921533689343</v>
      </c>
      <c r="P14" s="316">
        <f t="shared" ca="1" si="7"/>
        <v>0.61035488126449422</v>
      </c>
      <c r="Q14" s="316">
        <f t="shared" ca="1" si="9"/>
        <v>-0.85131433419045044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5088</v>
      </c>
      <c r="D15" s="316">
        <f t="shared" si="5"/>
        <v>848</v>
      </c>
      <c r="E15" s="316">
        <f t="shared" si="0"/>
        <v>4240</v>
      </c>
      <c r="F15" s="314"/>
      <c r="G15" s="318">
        <f ca="1">DATA!$D$11/1000000</f>
        <v>0.36119454334500001</v>
      </c>
      <c r="H15" s="318">
        <f>C15*DATA!$D$5/1000000</f>
        <v>5.5160282334709398</v>
      </c>
      <c r="I15" s="318">
        <f>(C15*DATA!$D$5*DATA!$D$7)/1000000</f>
        <v>0.12411063525309614</v>
      </c>
      <c r="J15" s="316">
        <f t="shared" ca="1" si="1"/>
        <v>6.0013334120690365</v>
      </c>
      <c r="K15" s="314"/>
      <c r="L15" s="316">
        <f>((D15*DATA!$D$23)/1000000)+((E15*DATA!$D$24)/1000000)</f>
        <v>7.3506336000000001</v>
      </c>
      <c r="M15" s="316">
        <f t="shared" si="2"/>
        <v>7.3506336000000001</v>
      </c>
      <c r="N15" s="316">
        <f t="shared" ca="1" si="6"/>
        <v>1.3493001879309636</v>
      </c>
      <c r="O15" s="315">
        <f>1/(1+'[93]Asumsi I'!$C$3)^(KKF!A15)</f>
        <v>0.4038832279793691</v>
      </c>
      <c r="P15" s="316">
        <f t="shared" ca="1" si="7"/>
        <v>0.54495971541472699</v>
      </c>
      <c r="Q15" s="316">
        <f t="shared" ca="1" si="9"/>
        <v>-0.30635461877572345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5088</v>
      </c>
      <c r="D16" s="316">
        <f t="shared" si="5"/>
        <v>848</v>
      </c>
      <c r="E16" s="316">
        <f t="shared" si="0"/>
        <v>4240</v>
      </c>
      <c r="F16" s="314"/>
      <c r="G16" s="318">
        <f ca="1">DATA!$D$11/1000000</f>
        <v>0.36119454334500001</v>
      </c>
      <c r="H16" s="318">
        <f>C16*DATA!$D$5/1000000</f>
        <v>5.5160282334709398</v>
      </c>
      <c r="I16" s="318">
        <f>(C16*DATA!$D$5*DATA!$D$7)/1000000</f>
        <v>0.12411063525309614</v>
      </c>
      <c r="J16" s="316">
        <f t="shared" ca="1" si="1"/>
        <v>6.0013334120690365</v>
      </c>
      <c r="K16" s="314"/>
      <c r="L16" s="316">
        <f>((D16*DATA!$D$23)/1000000)+((E16*DATA!$D$24)/1000000)</f>
        <v>7.3506336000000001</v>
      </c>
      <c r="M16" s="316">
        <f t="shared" si="2"/>
        <v>7.3506336000000001</v>
      </c>
      <c r="N16" s="316">
        <f t="shared" ca="1" si="6"/>
        <v>1.3493001879309636</v>
      </c>
      <c r="O16" s="315">
        <f>1/(1+'[93]Asumsi I'!$C$3)^(KKF!A16)</f>
        <v>0.36061002498157957</v>
      </c>
      <c r="P16" s="316">
        <f t="shared" ca="1" si="7"/>
        <v>0.48657117447743481</v>
      </c>
      <c r="Q16" s="316">
        <f t="shared" ca="1" si="9"/>
        <v>0.18021655570171136</v>
      </c>
      <c r="S16" s="304" t="str">
        <f t="shared" ca="1" si="3"/>
        <v/>
      </c>
      <c r="T16" s="320">
        <f t="shared" ca="1" si="10"/>
        <v>8.8664370187496537</v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5088</v>
      </c>
      <c r="D17" s="316">
        <f t="shared" si="5"/>
        <v>848</v>
      </c>
      <c r="E17" s="316">
        <f t="shared" si="0"/>
        <v>4240</v>
      </c>
      <c r="F17" s="314"/>
      <c r="G17" s="318">
        <f ca="1">DATA!$D$11/1000000</f>
        <v>0.36119454334500001</v>
      </c>
      <c r="H17" s="318">
        <f>C17*DATA!$D$5/1000000</f>
        <v>5.5160282334709398</v>
      </c>
      <c r="I17" s="318">
        <f>(C17*DATA!$D$5*DATA!$D$7)/1000000</f>
        <v>0.12411063525309614</v>
      </c>
      <c r="J17" s="316">
        <f t="shared" ca="1" si="1"/>
        <v>6.0013334120690365</v>
      </c>
      <c r="K17" s="314"/>
      <c r="L17" s="316">
        <f>((D17*DATA!$D$23)/1000000)+((E17*DATA!$D$24)/1000000)</f>
        <v>7.3506336000000001</v>
      </c>
      <c r="M17" s="316">
        <f t="shared" si="2"/>
        <v>7.3506336000000001</v>
      </c>
      <c r="N17" s="316">
        <f t="shared" ca="1" si="6"/>
        <v>1.3493001879309636</v>
      </c>
      <c r="O17" s="315">
        <f>1/(1+'[93]Asumsi I'!$C$3)^(KKF!A17)</f>
        <v>0.32197323659069599</v>
      </c>
      <c r="P17" s="316">
        <f t="shared" ca="1" si="7"/>
        <v>0.43443854864056669</v>
      </c>
      <c r="Q17" s="316">
        <f t="shared" ca="1" si="9"/>
        <v>0.6146551043422781</v>
      </c>
      <c r="S17" s="304" t="str">
        <f t="shared" ca="1" si="3"/>
        <v/>
      </c>
      <c r="T17" s="320">
        <f t="shared" ca="1" si="10"/>
        <v>9.5444637821589584</v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5088</v>
      </c>
      <c r="D18" s="316">
        <f t="shared" si="5"/>
        <v>848</v>
      </c>
      <c r="E18" s="316">
        <f t="shared" si="0"/>
        <v>4240</v>
      </c>
      <c r="F18" s="314"/>
      <c r="G18" s="318">
        <f ca="1">DATA!$D$11/1000000</f>
        <v>0.36119454334500001</v>
      </c>
      <c r="H18" s="318">
        <f>C18*DATA!$D$5/1000000</f>
        <v>5.5160282334709398</v>
      </c>
      <c r="I18" s="318">
        <f>(C18*DATA!$D$5*DATA!$D$7)/1000000</f>
        <v>0.12411063525309614</v>
      </c>
      <c r="J18" s="316">
        <f t="shared" ca="1" si="1"/>
        <v>6.0013334120690365</v>
      </c>
      <c r="K18" s="314"/>
      <c r="L18" s="316">
        <f>((D18*DATA!$D$23)/1000000)+((E18*DATA!$D$24)/1000000)</f>
        <v>7.3506336000000001</v>
      </c>
      <c r="M18" s="316">
        <f t="shared" si="2"/>
        <v>7.3506336000000001</v>
      </c>
      <c r="N18" s="316">
        <f t="shared" ca="1" si="6"/>
        <v>1.3493001879309636</v>
      </c>
      <c r="O18" s="315">
        <f>1/(1+'[93]Asumsi I'!$C$3)^(KKF!A18)</f>
        <v>0.28747610409883567</v>
      </c>
      <c r="P18" s="316">
        <f t="shared" ca="1" si="7"/>
        <v>0.38789156128622021</v>
      </c>
      <c r="Q18" s="316">
        <f t="shared" ca="1" si="9"/>
        <v>1.0025466656284983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5088</v>
      </c>
      <c r="D19" s="316">
        <f t="shared" si="5"/>
        <v>848</v>
      </c>
      <c r="E19" s="316">
        <f t="shared" si="0"/>
        <v>4240</v>
      </c>
      <c r="F19" s="314"/>
      <c r="G19" s="318">
        <f ca="1">DATA!$D$11/1000000</f>
        <v>0.36119454334500001</v>
      </c>
      <c r="H19" s="318">
        <f>C19*DATA!$D$5/1000000</f>
        <v>5.5160282334709398</v>
      </c>
      <c r="I19" s="318">
        <f>(C19*DATA!$D$5*DATA!$D$7)/1000000</f>
        <v>0.12411063525309614</v>
      </c>
      <c r="J19" s="316">
        <f t="shared" ca="1" si="1"/>
        <v>6.0013334120690365</v>
      </c>
      <c r="K19" s="314"/>
      <c r="L19" s="316">
        <f>((D19*DATA!$D$23)/1000000)+((E19*DATA!$D$24)/1000000)</f>
        <v>7.3506336000000001</v>
      </c>
      <c r="M19" s="316">
        <f t="shared" si="2"/>
        <v>7.3506336000000001</v>
      </c>
      <c r="N19" s="316">
        <f t="shared" ca="1" si="6"/>
        <v>1.3493001879309636</v>
      </c>
      <c r="O19" s="315">
        <f>1/(1+'[93]Asumsi I'!$C$3)^(KKF!A19)</f>
        <v>0.25667509294538904</v>
      </c>
      <c r="P19" s="316">
        <f t="shared" ca="1" si="7"/>
        <v>0.34633175114841097</v>
      </c>
      <c r="Q19" s="316">
        <f t="shared" ca="1" si="9"/>
        <v>1.3488784167769092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5088</v>
      </c>
      <c r="D20" s="316">
        <f t="shared" si="5"/>
        <v>848</v>
      </c>
      <c r="E20" s="316">
        <f t="shared" si="0"/>
        <v>4240</v>
      </c>
      <c r="F20" s="314"/>
      <c r="G20" s="318">
        <f ca="1">DATA!$D$11/1000000</f>
        <v>0.36119454334500001</v>
      </c>
      <c r="H20" s="318">
        <f>C20*DATA!$D$5/1000000</f>
        <v>5.5160282334709398</v>
      </c>
      <c r="I20" s="318">
        <f>(C20*DATA!$D$5*DATA!$D$7)/1000000</f>
        <v>0.12411063525309614</v>
      </c>
      <c r="J20" s="316">
        <f t="shared" ca="1" si="1"/>
        <v>6.0013334120690365</v>
      </c>
      <c r="K20" s="314"/>
      <c r="L20" s="316">
        <f>((D20*DATA!$D$23)/1000000)+((E20*DATA!$D$24)/1000000)</f>
        <v>7.3506336000000001</v>
      </c>
      <c r="M20" s="316">
        <f t="shared" si="2"/>
        <v>7.3506336000000001</v>
      </c>
      <c r="N20" s="316">
        <f t="shared" ca="1" si="6"/>
        <v>1.3493001879309636</v>
      </c>
      <c r="O20" s="315">
        <f>1/(1+'[93]Asumsi I'!$C$3)^(KKF!A20)</f>
        <v>0.22917419012981158</v>
      </c>
      <c r="P20" s="316">
        <f t="shared" ca="1" si="7"/>
        <v>0.30922477781108115</v>
      </c>
      <c r="Q20" s="316">
        <f t="shared" ca="1" si="9"/>
        <v>1.6581031945879903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5088</v>
      </c>
      <c r="D21" s="316">
        <f t="shared" si="5"/>
        <v>848</v>
      </c>
      <c r="E21" s="316">
        <f t="shared" si="0"/>
        <v>4240</v>
      </c>
      <c r="F21" s="314"/>
      <c r="G21" s="318">
        <f ca="1">DATA!$D$11/1000000</f>
        <v>0.36119454334500001</v>
      </c>
      <c r="H21" s="318">
        <f>C21*DATA!$D$5/1000000</f>
        <v>5.5160282334709398</v>
      </c>
      <c r="I21" s="318">
        <f>(C21*DATA!$D$5*DATA!$D$7)/1000000</f>
        <v>0.12411063525309614</v>
      </c>
      <c r="J21" s="316">
        <f t="shared" ca="1" si="1"/>
        <v>6.0013334120690365</v>
      </c>
      <c r="K21" s="314"/>
      <c r="L21" s="316">
        <f>((D21*DATA!$D$23)/1000000)+((E21*DATA!$D$24)/1000000)</f>
        <v>7.3506336000000001</v>
      </c>
      <c r="M21" s="316">
        <f t="shared" si="2"/>
        <v>7.3506336000000001</v>
      </c>
      <c r="N21" s="316">
        <f t="shared" ca="1" si="6"/>
        <v>1.3493001879309636</v>
      </c>
      <c r="O21" s="315">
        <f>1/(1+'[93]Asumsi I'!$C$3)^(KKF!A21)</f>
        <v>0.20461981261590317</v>
      </c>
      <c r="P21" s="316">
        <f t="shared" ca="1" si="7"/>
        <v>0.27609355161703669</v>
      </c>
      <c r="Q21" s="316">
        <f t="shared" ca="1" si="9"/>
        <v>1.9341967462050269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5088</v>
      </c>
      <c r="D22" s="316">
        <f t="shared" si="5"/>
        <v>848</v>
      </c>
      <c r="E22" s="316">
        <f t="shared" si="0"/>
        <v>4240</v>
      </c>
      <c r="F22" s="314"/>
      <c r="G22" s="318">
        <f ca="1">DATA!$D$11/1000000</f>
        <v>0.36119454334500001</v>
      </c>
      <c r="H22" s="318">
        <f>C22*DATA!$D$5/1000000</f>
        <v>5.5160282334709398</v>
      </c>
      <c r="I22" s="318">
        <f>(C22*DATA!$D$5*DATA!$D$7)/1000000</f>
        <v>0.12411063525309614</v>
      </c>
      <c r="J22" s="316">
        <f t="shared" ca="1" si="1"/>
        <v>6.0013334120690365</v>
      </c>
      <c r="K22" s="314"/>
      <c r="L22" s="316">
        <f>((D22*DATA!$D$23)/1000000)+((E22*DATA!$D$24)/1000000)</f>
        <v>7.3506336000000001</v>
      </c>
      <c r="M22" s="316">
        <f t="shared" si="2"/>
        <v>7.3506336000000001</v>
      </c>
      <c r="N22" s="316">
        <f t="shared" ca="1" si="6"/>
        <v>1.3493001879309636</v>
      </c>
      <c r="O22" s="315">
        <f>1/(1+'[93]Asumsi I'!$C$3)^(KKF!A22)</f>
        <v>0.18269626126419927</v>
      </c>
      <c r="P22" s="316">
        <f t="shared" ca="1" si="7"/>
        <v>0.2465120996580685</v>
      </c>
      <c r="Q22" s="316">
        <f t="shared" ca="1" si="9"/>
        <v>2.1807088458630952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5088</v>
      </c>
      <c r="D23" s="316">
        <f t="shared" si="5"/>
        <v>848</v>
      </c>
      <c r="E23" s="316">
        <f t="shared" si="0"/>
        <v>4240</v>
      </c>
      <c r="F23" s="314"/>
      <c r="G23" s="318">
        <f ca="1">DATA!$D$11/1000000</f>
        <v>0.36119454334500001</v>
      </c>
      <c r="H23" s="318">
        <f>C23*DATA!$D$5/1000000</f>
        <v>5.5160282334709398</v>
      </c>
      <c r="I23" s="318">
        <f>(C23*DATA!$D$5*DATA!$D$7)/1000000</f>
        <v>0.12411063525309614</v>
      </c>
      <c r="J23" s="316">
        <f t="shared" ca="1" si="1"/>
        <v>6.0013334120690365</v>
      </c>
      <c r="K23" s="314"/>
      <c r="L23" s="316">
        <f>((D23*DATA!$D$23)/1000000)+((E23*DATA!$D$24)/1000000)</f>
        <v>7.3506336000000001</v>
      </c>
      <c r="M23" s="316">
        <f t="shared" si="2"/>
        <v>7.3506336000000001</v>
      </c>
      <c r="N23" s="316">
        <f t="shared" ca="1" si="6"/>
        <v>1.3493001879309636</v>
      </c>
      <c r="O23" s="315">
        <f>1/(1+'[93]Asumsi I'!$C$3)^(KKF!A23)</f>
        <v>0.16312166184303503</v>
      </c>
      <c r="P23" s="316">
        <f t="shared" ca="1" si="7"/>
        <v>0.22010008898041827</v>
      </c>
      <c r="Q23" s="316">
        <f t="shared" ca="1" si="9"/>
        <v>2.4008089348435133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5088</v>
      </c>
      <c r="D24" s="316">
        <f t="shared" si="5"/>
        <v>848</v>
      </c>
      <c r="E24" s="316">
        <f t="shared" si="0"/>
        <v>4240</v>
      </c>
      <c r="F24" s="314"/>
      <c r="G24" s="318">
        <f ca="1">DATA!$D$11/1000000</f>
        <v>0.36119454334500001</v>
      </c>
      <c r="H24" s="318">
        <f>C24*DATA!$D$5/1000000</f>
        <v>5.5160282334709398</v>
      </c>
      <c r="I24" s="318">
        <f>(C24*DATA!$D$5*DATA!$D$7)/1000000</f>
        <v>0.12411063525309614</v>
      </c>
      <c r="J24" s="316">
        <f t="shared" ca="1" si="1"/>
        <v>6.0013334120690365</v>
      </c>
      <c r="K24" s="314"/>
      <c r="L24" s="316">
        <f>((D24*DATA!$D$23)/1000000)+((E24*DATA!$D$24)/1000000)</f>
        <v>7.3506336000000001</v>
      </c>
      <c r="M24" s="316">
        <f t="shared" si="2"/>
        <v>7.3506336000000001</v>
      </c>
      <c r="N24" s="316">
        <f t="shared" ca="1" si="6"/>
        <v>1.3493001879309636</v>
      </c>
      <c r="O24" s="315">
        <f>1/(1+'[93]Asumsi I'!$C$3)^(KKF!A24)</f>
        <v>0.14564434093128129</v>
      </c>
      <c r="P24" s="316">
        <f t="shared" ca="1" si="7"/>
        <v>0.19651793658965919</v>
      </c>
      <c r="Q24" s="316">
        <f t="shared" ca="1" si="9"/>
        <v>2.5973268714331725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5088</v>
      </c>
      <c r="D25" s="316">
        <f t="shared" si="5"/>
        <v>848</v>
      </c>
      <c r="E25" s="316">
        <f t="shared" si="0"/>
        <v>4240</v>
      </c>
      <c r="F25" s="314"/>
      <c r="G25" s="318">
        <f ca="1">DATA!$D$11/1000000</f>
        <v>0.36119454334500001</v>
      </c>
      <c r="H25" s="318">
        <f>C25*DATA!$D$5/1000000</f>
        <v>5.5160282334709398</v>
      </c>
      <c r="I25" s="318">
        <f>(C25*DATA!$D$5*DATA!$D$7)/1000000</f>
        <v>0.12411063525309614</v>
      </c>
      <c r="J25" s="316">
        <f t="shared" ca="1" si="1"/>
        <v>6.0013334120690365</v>
      </c>
      <c r="K25" s="314"/>
      <c r="L25" s="316">
        <f>((D25*DATA!$D$23)/1000000)+((E25*DATA!$D$24)/1000000)</f>
        <v>7.3506336000000001</v>
      </c>
      <c r="M25" s="316">
        <f t="shared" si="2"/>
        <v>7.3506336000000001</v>
      </c>
      <c r="N25" s="316">
        <f t="shared" ca="1" si="6"/>
        <v>1.3493001879309636</v>
      </c>
      <c r="O25" s="315">
        <f>1/(1+'[93]Asumsi I'!$C$3)^(KKF!A25)</f>
        <v>0.13003959011721541</v>
      </c>
      <c r="P25" s="316">
        <f t="shared" ca="1" si="7"/>
        <v>0.17546244338362424</v>
      </c>
      <c r="Q25" s="316">
        <f t="shared" ca="1" si="9"/>
        <v>2.7727893148167966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5088</v>
      </c>
      <c r="D26" s="316">
        <f t="shared" si="5"/>
        <v>848</v>
      </c>
      <c r="E26" s="316">
        <f t="shared" si="0"/>
        <v>4240</v>
      </c>
      <c r="F26" s="314"/>
      <c r="G26" s="318">
        <f ca="1">DATA!$D$11/1000000</f>
        <v>0.36119454334500001</v>
      </c>
      <c r="H26" s="318">
        <f>C26*DATA!$D$5/1000000</f>
        <v>5.5160282334709398</v>
      </c>
      <c r="I26" s="318">
        <f>(C26*DATA!$D$5*DATA!$D$7)/1000000</f>
        <v>0.12411063525309614</v>
      </c>
      <c r="J26" s="316">
        <f t="shared" ca="1" si="1"/>
        <v>6.0013334120690365</v>
      </c>
      <c r="K26" s="314"/>
      <c r="L26" s="316">
        <f>((D26*DATA!$D$23)/1000000)+((E26*DATA!$D$24)/1000000)</f>
        <v>7.3506336000000001</v>
      </c>
      <c r="M26" s="316">
        <f t="shared" si="2"/>
        <v>7.3506336000000001</v>
      </c>
      <c r="N26" s="316">
        <f t="shared" ca="1" si="6"/>
        <v>1.3493001879309636</v>
      </c>
      <c r="O26" s="315">
        <f>1/(1+'[93]Asumsi I'!$C$3)^(KKF!A26)</f>
        <v>0.1161067768903709</v>
      </c>
      <c r="P26" s="316">
        <f t="shared" ca="1" si="7"/>
        <v>0.15666289587823592</v>
      </c>
      <c r="Q26" s="316">
        <f t="shared" ca="1" si="9"/>
        <v>2.9294522106950325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5088</v>
      </c>
      <c r="D27" s="316">
        <f t="shared" si="5"/>
        <v>848</v>
      </c>
      <c r="E27" s="316">
        <f t="shared" si="0"/>
        <v>4240</v>
      </c>
      <c r="F27" s="314"/>
      <c r="G27" s="318">
        <f ca="1">DATA!$D$11/1000000</f>
        <v>0.36119454334500001</v>
      </c>
      <c r="H27" s="318">
        <f>C27*DATA!$D$5/1000000</f>
        <v>5.5160282334709398</v>
      </c>
      <c r="I27" s="318">
        <f>(C27*DATA!$D$5*DATA!$D$7)/1000000</f>
        <v>0.12411063525309614</v>
      </c>
      <c r="J27" s="316">
        <f t="shared" ca="1" si="1"/>
        <v>6.0013334120690365</v>
      </c>
      <c r="K27" s="314"/>
      <c r="L27" s="316">
        <f>((D27*DATA!$D$23)/1000000)+((E27*DATA!$D$24)/1000000)</f>
        <v>7.3506336000000001</v>
      </c>
      <c r="M27" s="316">
        <f t="shared" si="2"/>
        <v>7.3506336000000001</v>
      </c>
      <c r="N27" s="316">
        <f t="shared" ca="1" si="6"/>
        <v>1.3493001879309636</v>
      </c>
      <c r="O27" s="315">
        <f>1/(1+'[93]Asumsi I'!$C$3)^(KKF!A27)</f>
        <v>0.1036667650806883</v>
      </c>
      <c r="P27" s="316">
        <f t="shared" ca="1" si="7"/>
        <v>0.13987758560556779</v>
      </c>
      <c r="Q27" s="316">
        <f t="shared" ca="1" si="9"/>
        <v>3.0693297963006003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5088</v>
      </c>
      <c r="D28" s="316">
        <f t="shared" si="5"/>
        <v>848</v>
      </c>
      <c r="E28" s="316">
        <f t="shared" si="0"/>
        <v>4240</v>
      </c>
      <c r="F28" s="314"/>
      <c r="G28" s="318">
        <f ca="1">DATA!$D$11/1000000</f>
        <v>0.36119454334500001</v>
      </c>
      <c r="H28" s="318">
        <f>C28*DATA!$D$5/1000000</f>
        <v>5.5160282334709398</v>
      </c>
      <c r="I28" s="318">
        <f>(C28*DATA!$D$5*DATA!$D$7)/1000000</f>
        <v>0.12411063525309614</v>
      </c>
      <c r="J28" s="316">
        <f t="shared" ca="1" si="1"/>
        <v>6.0013334120690365</v>
      </c>
      <c r="K28" s="314"/>
      <c r="L28" s="316">
        <f>((D28*DATA!$D$23)/1000000)+((E28*DATA!$D$24)/1000000)</f>
        <v>7.3506336000000001</v>
      </c>
      <c r="M28" s="316">
        <f t="shared" si="2"/>
        <v>7.3506336000000001</v>
      </c>
      <c r="N28" s="316">
        <f t="shared" ca="1" si="6"/>
        <v>1.3493001879309636</v>
      </c>
      <c r="O28" s="315">
        <f>1/(1+'[93]Asumsi I'!$C$3)^(KKF!A28)</f>
        <v>9.2559611679185971E-2</v>
      </c>
      <c r="P28" s="316">
        <f t="shared" ca="1" si="7"/>
        <v>0.12489070143354265</v>
      </c>
      <c r="Q28" s="316">
        <f t="shared" ca="1" si="9"/>
        <v>3.1942204977341428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5088</v>
      </c>
      <c r="D29" s="316">
        <f t="shared" si="5"/>
        <v>848</v>
      </c>
      <c r="E29" s="316">
        <f t="shared" si="0"/>
        <v>4240</v>
      </c>
      <c r="F29" s="314"/>
      <c r="G29" s="318">
        <f ca="1">DATA!$D$11/1000000</f>
        <v>0.36119454334500001</v>
      </c>
      <c r="H29" s="318">
        <f>C29*DATA!$D$5/1000000</f>
        <v>5.5160282334709398</v>
      </c>
      <c r="I29" s="318">
        <f>(C29*DATA!$D$5*DATA!$D$7)/1000000</f>
        <v>0.12411063525309614</v>
      </c>
      <c r="J29" s="316">
        <f t="shared" ca="1" si="1"/>
        <v>6.0013334120690365</v>
      </c>
      <c r="K29" s="314"/>
      <c r="L29" s="316">
        <f>((D29*DATA!$D$23)/1000000)+((E29*DATA!$D$24)/1000000)</f>
        <v>7.3506336000000001</v>
      </c>
      <c r="M29" s="316">
        <f t="shared" si="2"/>
        <v>7.3506336000000001</v>
      </c>
      <c r="N29" s="316">
        <f t="shared" ca="1" si="6"/>
        <v>1.3493001879309636</v>
      </c>
      <c r="O29" s="315">
        <f>1/(1+'[93]Asumsi I'!$C$3)^(KKF!A29)</f>
        <v>8.2642510427844609E-2</v>
      </c>
      <c r="P29" s="316">
        <f t="shared" ca="1" si="7"/>
        <v>0.11150955485137735</v>
      </c>
      <c r="Q29" s="316">
        <f t="shared" ca="1" si="9"/>
        <v>3.30573005258552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5088</v>
      </c>
      <c r="D30" s="316">
        <f t="shared" si="5"/>
        <v>848</v>
      </c>
      <c r="E30" s="316">
        <f t="shared" si="0"/>
        <v>4240</v>
      </c>
      <c r="F30" s="314"/>
      <c r="G30" s="318">
        <f ca="1">DATA!$D$11/1000000</f>
        <v>0.36119454334500001</v>
      </c>
      <c r="H30" s="318">
        <f>C30*DATA!$D$5/1000000</f>
        <v>5.5160282334709398</v>
      </c>
      <c r="I30" s="318">
        <f>(C30*DATA!$D$5*DATA!$D$7)/1000000</f>
        <v>0.12411063525309614</v>
      </c>
      <c r="J30" s="316">
        <f t="shared" ca="1" si="1"/>
        <v>6.0013334120690365</v>
      </c>
      <c r="K30" s="314"/>
      <c r="L30" s="316">
        <f>((D30*DATA!$D$23)/1000000)+((E30*DATA!$D$24)/1000000)</f>
        <v>7.3506336000000001</v>
      </c>
      <c r="M30" s="316">
        <f t="shared" si="2"/>
        <v>7.3506336000000001</v>
      </c>
      <c r="N30" s="316">
        <f t="shared" ca="1" si="6"/>
        <v>1.3493001879309636</v>
      </c>
      <c r="O30" s="315">
        <f>1/(1+'[93]Asumsi I'!$C$3)^(KKF!A30)</f>
        <v>7.3787955739146982E-2</v>
      </c>
      <c r="P30" s="316">
        <f t="shared" ca="1" si="7"/>
        <v>9.9562102545872652E-2</v>
      </c>
      <c r="Q30" s="316">
        <f t="shared" ca="1" si="9"/>
        <v>3.4052921551313928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5088</v>
      </c>
      <c r="D31" s="316">
        <f t="shared" si="5"/>
        <v>848</v>
      </c>
      <c r="E31" s="316">
        <f t="shared" si="0"/>
        <v>4240</v>
      </c>
      <c r="F31" s="314"/>
      <c r="G31" s="318">
        <f ca="1">DATA!$D$11/1000000</f>
        <v>0.36119454334500001</v>
      </c>
      <c r="H31" s="318">
        <f>C31*DATA!$D$5/1000000</f>
        <v>5.5160282334709398</v>
      </c>
      <c r="I31" s="318">
        <f>(C31*DATA!$D$5*DATA!$D$7)/1000000</f>
        <v>0.12411063525309614</v>
      </c>
      <c r="J31" s="316">
        <f t="shared" ca="1" si="1"/>
        <v>6.0013334120690365</v>
      </c>
      <c r="K31" s="314"/>
      <c r="L31" s="316">
        <f>((D31*DATA!$D$23)/1000000)+((E31*DATA!$D$24)/1000000)</f>
        <v>7.3506336000000001</v>
      </c>
      <c r="M31" s="316">
        <f t="shared" si="2"/>
        <v>7.3506336000000001</v>
      </c>
      <c r="N31" s="316">
        <f t="shared" ca="1" si="6"/>
        <v>1.3493001879309636</v>
      </c>
      <c r="O31" s="315">
        <f>1/(1+'[93]Asumsi I'!$C$3)^(KKF!A31)</f>
        <v>6.5882103338524081E-2</v>
      </c>
      <c r="P31" s="316">
        <f t="shared" ca="1" si="7"/>
        <v>8.8894734415957702E-2</v>
      </c>
      <c r="Q31" s="316">
        <f ca="1">Q30+P31</f>
        <v>3.4941868895473505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5088</v>
      </c>
      <c r="D32" s="316">
        <f t="shared" si="5"/>
        <v>848</v>
      </c>
      <c r="E32" s="316">
        <f t="shared" si="0"/>
        <v>4240</v>
      </c>
      <c r="F32" s="314"/>
      <c r="G32" s="318">
        <f ca="1">DATA!$D$11/1000000</f>
        <v>0.36119454334500001</v>
      </c>
      <c r="H32" s="318">
        <f>C32*DATA!$D$5/1000000</f>
        <v>5.5160282334709398</v>
      </c>
      <c r="I32" s="318">
        <f>(C32*DATA!$D$5*DATA!$D$7)/1000000</f>
        <v>0.12411063525309614</v>
      </c>
      <c r="J32" s="316">
        <f t="shared" ca="1" si="1"/>
        <v>6.0013334120690365</v>
      </c>
      <c r="K32" s="314"/>
      <c r="L32" s="316">
        <f>((D32*DATA!$D$23)/1000000)+((E32*DATA!$D$24)/1000000)</f>
        <v>7.3506336000000001</v>
      </c>
      <c r="M32" s="316">
        <f t="shared" si="2"/>
        <v>7.3506336000000001</v>
      </c>
      <c r="N32" s="316">
        <f t="shared" ca="1" si="6"/>
        <v>1.3493001879309636</v>
      </c>
      <c r="O32" s="315">
        <f>1/(1+'[93]Asumsi I'!$C$3)^(KKF!A32)</f>
        <v>5.8823306552253637E-2</v>
      </c>
      <c r="P32" s="316">
        <f t="shared" ca="1" si="7"/>
        <v>7.9370298585676513E-2</v>
      </c>
      <c r="Q32" s="316">
        <f ca="1">Q31+P32</f>
        <v>3.573557188133027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0" t="s">
        <v>1374</v>
      </c>
      <c r="G33" s="610"/>
      <c r="H33" s="610"/>
      <c r="I33" s="324"/>
      <c r="J33" s="325">
        <f ca="1">SUM(J7:J32)</f>
        <v>172.21434959147027</v>
      </c>
      <c r="K33" s="610" t="s">
        <v>1375</v>
      </c>
      <c r="L33" s="610"/>
      <c r="M33" s="325">
        <f>SUM(M7:M32)</f>
        <v>198.93766240000005</v>
      </c>
      <c r="N33" s="323"/>
      <c r="O33" s="323"/>
      <c r="P33" s="326"/>
      <c r="Q33" s="326"/>
      <c r="S33" s="304">
        <f ca="1">COUNTIF(S7:S32,"a")</f>
        <v>9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16.438902542329771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9.205450400454307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1.1551747161135135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3.1906760608330584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0.19001779674543129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4" priority="1" stopIfTrue="1" operator="greaterThanOrEqual">
      <formula>$F$7</formula>
    </cfRule>
    <cfRule type="cellIs" dxfId="13" priority="2" stopIfTrue="1" operator="lessThan">
      <formula>$F$7</formula>
    </cfRule>
  </conditionalFormatting>
  <conditionalFormatting sqref="Q7:Q32">
    <cfRule type="cellIs" dxfId="12" priority="3" operator="lessThan">
      <formula>0</formula>
    </cfRule>
    <cfRule type="cellIs" dxfId="11" priority="4" operator="lessThan">
      <formula>0</formula>
    </cfRule>
    <cfRule type="cellIs" dxfId="10" priority="5" operator="lessThan">
      <formula>-6395.81</formula>
    </cfRule>
    <cfRule type="cellIs" dxfId="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85"/>
  <sheetViews>
    <sheetView showGridLines="0" zoomScale="70" zoomScaleNormal="70" zoomScaleSheetLayoutView="70" workbookViewId="0">
      <pane ySplit="13" topLeftCell="A14" activePane="bottomLeft" state="frozen"/>
      <selection activeCell="H1093" sqref="H1093"/>
      <selection pane="bottomLeft" activeCell="I82" sqref="A1:K82"/>
    </sheetView>
  </sheetViews>
  <sheetFormatPr defaultRowHeight="15"/>
  <cols>
    <col min="1" max="1" width="8.28515625" style="336" customWidth="1"/>
    <col min="2" max="2" width="5.140625" style="337" customWidth="1"/>
    <col min="3" max="3" width="45.7109375" style="418" customWidth="1"/>
    <col min="4" max="4" width="13.7109375" style="418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3" t="s">
        <v>1036</v>
      </c>
      <c r="P3" s="633"/>
      <c r="Q3" s="346"/>
      <c r="T3" s="344"/>
      <c r="U3" s="345" t="s">
        <v>1041</v>
      </c>
      <c r="V3" s="344"/>
    </row>
    <row r="4" spans="1:22" ht="15.75" customHeight="1">
      <c r="B4" s="634" t="s">
        <v>1023</v>
      </c>
      <c r="C4" s="634"/>
      <c r="D4" s="634"/>
      <c r="E4" s="634"/>
      <c r="F4" s="634"/>
      <c r="G4" s="634"/>
      <c r="H4" s="634"/>
      <c r="I4" s="634"/>
      <c r="J4" s="634"/>
      <c r="K4" s="634"/>
      <c r="O4" s="633"/>
      <c r="P4" s="633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7" t="str">
        <f>DATA!D14</f>
        <v>PB XL-JAW-JT-PWD-4024 GENTING SEDO</v>
      </c>
      <c r="H6" s="617"/>
      <c r="I6" s="617"/>
      <c r="J6" s="617"/>
      <c r="K6" s="617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1619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1552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36" t="s">
        <v>0</v>
      </c>
      <c r="C11" s="638" t="s">
        <v>1</v>
      </c>
      <c r="D11" s="627" t="s">
        <v>42</v>
      </c>
      <c r="E11" s="627" t="s">
        <v>43</v>
      </c>
      <c r="F11" s="627" t="s">
        <v>2</v>
      </c>
      <c r="G11" s="641" t="s">
        <v>41</v>
      </c>
      <c r="H11" s="627" t="s">
        <v>3</v>
      </c>
      <c r="I11" s="627"/>
      <c r="J11" s="627"/>
      <c r="K11" s="628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37"/>
      <c r="C12" s="639"/>
      <c r="D12" s="631"/>
      <c r="E12" s="631"/>
      <c r="F12" s="631"/>
      <c r="G12" s="642"/>
      <c r="H12" s="629" t="s">
        <v>46</v>
      </c>
      <c r="I12" s="629" t="s">
        <v>5</v>
      </c>
      <c r="J12" s="631" t="s">
        <v>47</v>
      </c>
      <c r="K12" s="632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37"/>
      <c r="C13" s="640"/>
      <c r="D13" s="631"/>
      <c r="E13" s="631"/>
      <c r="F13" s="631"/>
      <c r="G13" s="643"/>
      <c r="H13" s="630"/>
      <c r="I13" s="630"/>
      <c r="J13" s="631"/>
      <c r="K13" s="632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71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17" ca="1" si="8">IF(OR(D16="MDU",D16="MDU-KD"),(IF($O$3="RAB NON MDU","PLN KD",G16*F16)),0)</f>
        <v>0</v>
      </c>
      <c r="I16" s="361">
        <f t="shared" ref="I16:I17" ca="1" si="9">IF(D16="HDW",G16*F16,0)</f>
        <v>0</v>
      </c>
      <c r="J16" s="361">
        <f t="shared" ref="J16:J17" ca="1" si="10">IF(D16="JASA",G16*F16,0)</f>
        <v>0</v>
      </c>
      <c r="K16" s="362">
        <f t="shared" ref="K16:K17" ca="1" si="11">SUM(H16:J16)</f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 t="e">
        <f>IF(AND(C17=0,#REF!=0,#REF!=0),"BLANKS",1)</f>
        <v>#REF!</v>
      </c>
      <c r="B17" s="372" t="s">
        <v>1456</v>
      </c>
      <c r="C17" s="373" t="s">
        <v>1457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71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 t="e">
        <f>IF(AND(C18=0,#REF!=0,#REF!=0),"BLANKS",1)</f>
        <v>#REF!</v>
      </c>
      <c r="B18" s="374"/>
      <c r="C18" s="375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71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48" ca="1" si="12">IF(OR(D18="MDU",D18="MDU-KD"),(IF($O$3="RAB NON MDU","PLN KD",G18*F18)),0)</f>
        <v>0</v>
      </c>
      <c r="I18" s="361">
        <f t="shared" ref="I18:I48" ca="1" si="13">IF(D18="HDW",G18*F18,0)</f>
        <v>0</v>
      </c>
      <c r="J18" s="361">
        <f t="shared" ref="J18:J48" ca="1" si="14">IF(D18="JASA",G18*F18,0)</f>
        <v>0</v>
      </c>
      <c r="K18" s="362">
        <f t="shared" ref="K18:K48" ca="1" si="15">SUM(H18:J18)</f>
        <v>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65" customFormat="1">
      <c r="A19" s="336"/>
      <c r="B19" s="377" t="s">
        <v>1550</v>
      </c>
      <c r="C19" s="378" t="s">
        <v>1621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71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12"/>
        <v>0</v>
      </c>
      <c r="I19" s="361">
        <f t="shared" ca="1" si="13"/>
        <v>0</v>
      </c>
      <c r="J19" s="361">
        <f t="shared" ca="1" si="14"/>
        <v>0</v>
      </c>
      <c r="K19" s="362">
        <f t="shared" ca="1" si="15"/>
        <v>0</v>
      </c>
      <c r="L19" s="342"/>
      <c r="M19" s="342"/>
      <c r="N19" s="369"/>
      <c r="O19" s="344"/>
      <c r="P19" s="344"/>
      <c r="Q19" s="403"/>
      <c r="R19" s="344"/>
      <c r="S19" s="403"/>
      <c r="T19" s="404"/>
      <c r="U19" s="404"/>
      <c r="V19" s="404"/>
    </row>
    <row r="20" spans="1:22" s="365" customFormat="1">
      <c r="A20" s="336"/>
      <c r="B20" s="374"/>
      <c r="C20" s="379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71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12"/>
        <v>0</v>
      </c>
      <c r="I20" s="361">
        <f t="shared" ca="1" si="13"/>
        <v>0</v>
      </c>
      <c r="J20" s="361">
        <f t="shared" ca="1" si="14"/>
        <v>0</v>
      </c>
      <c r="K20" s="362">
        <f t="shared" ca="1" si="15"/>
        <v>0</v>
      </c>
      <c r="L20" s="411"/>
      <c r="M20" s="411"/>
      <c r="N20" s="369"/>
      <c r="O20" s="344"/>
      <c r="P20" s="344"/>
      <c r="Q20" s="344"/>
    </row>
    <row r="21" spans="1:22" s="365" customFormat="1">
      <c r="A21" s="336"/>
      <c r="B21" s="514" t="s">
        <v>1035</v>
      </c>
      <c r="C21" s="515" t="s">
        <v>1622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489">
        <v>1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  <c r="L21" s="411"/>
      <c r="M21" s="411"/>
      <c r="N21" s="369"/>
      <c r="O21" s="344"/>
      <c r="P21" s="344"/>
      <c r="Q21" s="344"/>
    </row>
    <row r="22" spans="1:22" s="365" customFormat="1">
      <c r="A22" s="336"/>
      <c r="B22" s="514">
        <v>1</v>
      </c>
      <c r="C22" s="516" t="s">
        <v>1044</v>
      </c>
      <c r="D22" s="358" t="str">
        <f ca="1">IF(ISERROR(OFFSET('HARGA SATUAN'!$D$6,MATCH(RAB!C22,'HARGA SATUAN'!$C$7:$C$1492,0),0)),"",OFFSET('HARGA SATUAN'!$D$6,MATCH(RAB!C22,'HARGA SATUAN'!$C$7:$C$1492,0),0))</f>
        <v>MDU-KD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89">
        <f>F21*1</f>
        <v>1</v>
      </c>
      <c r="G22" s="360">
        <f ca="1">IF(ISERROR(OFFSET('HARGA SATUAN'!$I$6,MATCH(RAB!C22,'HARGA SATUAN'!$C$7:$C$1492,0),0)),0,OFFSET('HARGA SATUAN'!$I$6,MATCH(RAB!C22,'HARGA SATUAN'!$C$7:$C$1492,0),0))</f>
        <v>9994500</v>
      </c>
      <c r="H22" s="361">
        <f t="shared" ca="1" si="12"/>
        <v>9994500</v>
      </c>
      <c r="I22" s="361">
        <f t="shared" ca="1" si="13"/>
        <v>0</v>
      </c>
      <c r="J22" s="361">
        <f t="shared" ca="1" si="14"/>
        <v>0</v>
      </c>
      <c r="K22" s="362">
        <f t="shared" ca="1" si="15"/>
        <v>9994500</v>
      </c>
      <c r="L22" s="411"/>
      <c r="M22" s="411"/>
      <c r="N22" s="369"/>
      <c r="O22" s="344"/>
      <c r="P22" s="344"/>
      <c r="Q22" s="344"/>
    </row>
    <row r="23" spans="1:22" s="365" customFormat="1">
      <c r="A23" s="336"/>
      <c r="B23" s="514">
        <v>2</v>
      </c>
      <c r="C23" s="109" t="s">
        <v>1463</v>
      </c>
      <c r="D23" s="358" t="str">
        <f ca="1">IF(ISERROR(OFFSET('HARGA SATUAN'!$D$6,MATCH(RAB!C23,'HARGA SATUAN'!$C$7:$C$1492,0),0)),"",OFFSET('HARGA SATUAN'!$D$6,MATCH(RAB!C23,'HARGA SATUAN'!$C$7:$C$1492,0),0))</f>
        <v>MDU-KD</v>
      </c>
      <c r="E23" s="359" t="str">
        <f ca="1">IF(B23="+","Unit",IF(ISERROR(OFFSET('HARGA SATUAN'!$E$6,MATCH(RAB!C23,'HARGA SATUAN'!$C$7:$C$1492,0),0)),"",OFFSET('HARGA SATUAN'!$E$6,MATCH(RAB!C23,'HARGA SATUAN'!$C$7:$C$1492,0),0)))</f>
        <v>Mtr</v>
      </c>
      <c r="F23" s="489">
        <v>30</v>
      </c>
      <c r="G23" s="360">
        <f ca="1">IF(ISERROR(OFFSET('HARGA SATUAN'!$I$6,MATCH(RAB!C23,'HARGA SATUAN'!$C$7:$C$1492,0),0)),0,OFFSET('HARGA SATUAN'!$I$6,MATCH(RAB!C23,'HARGA SATUAN'!$C$7:$C$1492,0),0))</f>
        <v>54500</v>
      </c>
      <c r="H23" s="361">
        <f t="shared" ca="1" si="12"/>
        <v>1635000</v>
      </c>
      <c r="I23" s="361">
        <f t="shared" ca="1" si="13"/>
        <v>0</v>
      </c>
      <c r="J23" s="361">
        <f t="shared" ca="1" si="14"/>
        <v>0</v>
      </c>
      <c r="K23" s="362">
        <f t="shared" ca="1" si="15"/>
        <v>1635000</v>
      </c>
      <c r="L23" s="411"/>
      <c r="M23" s="411"/>
      <c r="N23" s="369"/>
      <c r="O23" s="344"/>
      <c r="P23" s="344"/>
      <c r="Q23" s="344"/>
    </row>
    <row r="24" spans="1:22" s="365" customFormat="1">
      <c r="A24" s="336"/>
      <c r="B24" s="514">
        <v>3</v>
      </c>
      <c r="C24" s="516" t="s">
        <v>163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489">
        <f>F21*4</f>
        <v>4</v>
      </c>
      <c r="G24" s="360">
        <f ca="1">IF(ISERROR(OFFSET('HARGA SATUAN'!$I$6,MATCH(RAB!C24,'HARGA SATUAN'!$C$7:$C$1492,0),0)),0,OFFSET('HARGA SATUAN'!$I$6,MATCH(RAB!C24,'HARGA SATUAN'!$C$7:$C$1492,0),0))</f>
        <v>7938</v>
      </c>
      <c r="H24" s="361">
        <f t="shared" ca="1" si="12"/>
        <v>0</v>
      </c>
      <c r="I24" s="361">
        <f t="shared" ca="1" si="13"/>
        <v>31752</v>
      </c>
      <c r="J24" s="361">
        <f t="shared" ca="1" si="14"/>
        <v>0</v>
      </c>
      <c r="K24" s="362">
        <f t="shared" ca="1" si="15"/>
        <v>31752</v>
      </c>
      <c r="L24" s="411"/>
      <c r="M24" s="411"/>
      <c r="N24" s="369"/>
      <c r="O24" s="344"/>
      <c r="P24" s="344"/>
      <c r="Q24" s="344"/>
    </row>
    <row r="25" spans="1:22" s="365" customFormat="1">
      <c r="A25" s="336"/>
      <c r="B25" s="514">
        <v>4</v>
      </c>
      <c r="C25" s="515" t="s">
        <v>166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89">
        <f>F21*10</f>
        <v>10</v>
      </c>
      <c r="G25" s="360">
        <f ca="1">IF(ISERROR(OFFSET('HARGA SATUAN'!$I$6,MATCH(RAB!C25,'HARGA SATUAN'!$C$7:$C$1492,0),0)),0,OFFSET('HARGA SATUAN'!$I$6,MATCH(RAB!C25,'HARGA SATUAN'!$C$7:$C$1492,0),0))</f>
        <v>26500</v>
      </c>
      <c r="H25" s="361">
        <f t="shared" ca="1" si="12"/>
        <v>0</v>
      </c>
      <c r="I25" s="361">
        <f t="shared" ca="1" si="13"/>
        <v>265000</v>
      </c>
      <c r="J25" s="361">
        <f t="shared" ca="1" si="14"/>
        <v>0</v>
      </c>
      <c r="K25" s="362">
        <f t="shared" ca="1" si="15"/>
        <v>265000</v>
      </c>
      <c r="L25" s="411"/>
      <c r="M25" s="411"/>
      <c r="N25" s="369"/>
      <c r="O25" s="344"/>
      <c r="P25" s="344"/>
      <c r="Q25" s="344"/>
    </row>
    <row r="26" spans="1:22" s="365" customFormat="1">
      <c r="A26" s="336"/>
      <c r="B26" s="514">
        <v>5</v>
      </c>
      <c r="C26" s="516" t="s">
        <v>592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89">
        <f>F21*1</f>
        <v>1</v>
      </c>
      <c r="G26" s="360">
        <f ca="1">IF(ISERROR(OFFSET('HARGA SATUAN'!$I$6,MATCH(RAB!C26,'HARGA SATUAN'!$C$7:$C$1492,0),0)),0,OFFSET('HARGA SATUAN'!$I$6,MATCH(RAB!C26,'HARGA SATUAN'!$C$7:$C$1492,0),0))</f>
        <v>283100</v>
      </c>
      <c r="H26" s="361">
        <f t="shared" ca="1" si="12"/>
        <v>0</v>
      </c>
      <c r="I26" s="361">
        <f t="shared" ca="1" si="13"/>
        <v>283100</v>
      </c>
      <c r="J26" s="361">
        <f t="shared" ca="1" si="14"/>
        <v>0</v>
      </c>
      <c r="K26" s="362">
        <f t="shared" ca="1" si="15"/>
        <v>283100</v>
      </c>
      <c r="L26" s="411"/>
      <c r="M26" s="411"/>
      <c r="N26" s="369"/>
      <c r="O26" s="344"/>
      <c r="P26" s="344"/>
      <c r="Q26" s="344"/>
    </row>
    <row r="27" spans="1:22" s="365" customFormat="1">
      <c r="A27" s="336"/>
      <c r="B27" s="514">
        <v>6</v>
      </c>
      <c r="C27" s="516" t="s">
        <v>593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89">
        <f>F21*1</f>
        <v>1</v>
      </c>
      <c r="G27" s="360">
        <f ca="1">IF(ISERROR(OFFSET('HARGA SATUAN'!$I$6,MATCH(RAB!C27,'HARGA SATUAN'!$C$7:$C$1492,0),0)),0,OFFSET('HARGA SATUAN'!$I$6,MATCH(RAB!C27,'HARGA SATUAN'!$C$7:$C$1492,0),0))</f>
        <v>380500</v>
      </c>
      <c r="H27" s="361">
        <f t="shared" ca="1" si="12"/>
        <v>0</v>
      </c>
      <c r="I27" s="361">
        <f t="shared" ca="1" si="13"/>
        <v>380500</v>
      </c>
      <c r="J27" s="361">
        <f t="shared" ca="1" si="14"/>
        <v>0</v>
      </c>
      <c r="K27" s="362">
        <f t="shared" ca="1" si="15"/>
        <v>380500</v>
      </c>
      <c r="L27" s="411"/>
      <c r="M27" s="411"/>
      <c r="N27" s="369"/>
      <c r="O27" s="344"/>
      <c r="P27" s="344"/>
      <c r="Q27" s="344"/>
    </row>
    <row r="28" spans="1:22" s="365" customFormat="1">
      <c r="A28" s="336"/>
      <c r="B28" s="514">
        <v>7</v>
      </c>
      <c r="C28" s="516" t="s">
        <v>230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89">
        <f>F21*(3*3)</f>
        <v>9</v>
      </c>
      <c r="G28" s="360">
        <f ca="1">IF(ISERROR(OFFSET('HARGA SATUAN'!$I$6,MATCH(RAB!C28,'HARGA SATUAN'!$C$7:$C$1492,0),0)),0,OFFSET('HARGA SATUAN'!$I$6,MATCH(RAB!C28,'HARGA SATUAN'!$C$7:$C$1492,0),0))</f>
        <v>32500</v>
      </c>
      <c r="H28" s="361">
        <f t="shared" ca="1" si="12"/>
        <v>0</v>
      </c>
      <c r="I28" s="361">
        <f t="shared" ca="1" si="13"/>
        <v>292500</v>
      </c>
      <c r="J28" s="361">
        <f t="shared" ca="1" si="14"/>
        <v>0</v>
      </c>
      <c r="K28" s="362">
        <f t="shared" ca="1" si="15"/>
        <v>292500</v>
      </c>
      <c r="L28" s="411"/>
      <c r="M28" s="411"/>
      <c r="N28" s="369"/>
      <c r="O28" s="344"/>
      <c r="P28" s="344"/>
      <c r="Q28" s="344"/>
    </row>
    <row r="29" spans="1:22" s="365" customFormat="1">
      <c r="A29" s="336"/>
      <c r="B29" s="514">
        <v>8</v>
      </c>
      <c r="C29" s="516" t="s">
        <v>37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89">
        <f>F21*1</f>
        <v>1</v>
      </c>
      <c r="G29" s="360">
        <f ca="1">IF(ISERROR(OFFSET('HARGA SATUAN'!$I$6,MATCH(RAB!C29,'HARGA SATUAN'!$C$7:$C$1492,0),0)),0,OFFSET('HARGA SATUAN'!$I$6,MATCH(RAB!C29,'HARGA SATUAN'!$C$7:$C$1492,0),0))</f>
        <v>63500</v>
      </c>
      <c r="H29" s="361">
        <f t="shared" ca="1" si="12"/>
        <v>0</v>
      </c>
      <c r="I29" s="361">
        <f t="shared" ca="1" si="13"/>
        <v>63500</v>
      </c>
      <c r="J29" s="361">
        <f t="shared" ca="1" si="14"/>
        <v>0</v>
      </c>
      <c r="K29" s="362">
        <f t="shared" ca="1" si="15"/>
        <v>63500</v>
      </c>
      <c r="L29" s="411"/>
      <c r="M29" s="411"/>
      <c r="N29" s="369"/>
      <c r="O29" s="344"/>
      <c r="P29" s="344"/>
      <c r="Q29" s="344"/>
    </row>
    <row r="30" spans="1:22" s="365" customFormat="1">
      <c r="A30" s="336"/>
      <c r="B30" s="514">
        <v>9</v>
      </c>
      <c r="C30" s="516" t="s">
        <v>234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89">
        <f>F21*2</f>
        <v>2</v>
      </c>
      <c r="G30" s="360">
        <f ca="1">IF(ISERROR(OFFSET('HARGA SATUAN'!$I$6,MATCH(RAB!C30,'HARGA SATUAN'!$C$7:$C$1492,0),0)),0,OFFSET('HARGA SATUAN'!$I$6,MATCH(RAB!C30,'HARGA SATUAN'!$C$7:$C$1492,0),0))</f>
        <v>67500</v>
      </c>
      <c r="H30" s="361">
        <f t="shared" ca="1" si="12"/>
        <v>0</v>
      </c>
      <c r="I30" s="361">
        <f t="shared" ca="1" si="13"/>
        <v>135000</v>
      </c>
      <c r="J30" s="361">
        <f t="shared" ca="1" si="14"/>
        <v>0</v>
      </c>
      <c r="K30" s="362">
        <f t="shared" ca="1" si="15"/>
        <v>135000</v>
      </c>
      <c r="L30" s="411"/>
      <c r="M30" s="411"/>
      <c r="N30" s="369"/>
      <c r="O30" s="344"/>
      <c r="P30" s="344"/>
      <c r="Q30" s="344"/>
    </row>
    <row r="31" spans="1:22" s="365" customFormat="1">
      <c r="A31" s="336"/>
      <c r="B31" s="514">
        <v>10</v>
      </c>
      <c r="C31" s="516" t="s">
        <v>1048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89">
        <f>F21*2</f>
        <v>2</v>
      </c>
      <c r="G31" s="360">
        <f ca="1">IF(ISERROR(OFFSET('HARGA SATUAN'!$I$6,MATCH(RAB!C31,'HARGA SATUAN'!$C$7:$C$1492,0),0)),0,OFFSET('HARGA SATUAN'!$I$6,MATCH(RAB!C31,'HARGA SATUAN'!$C$7:$C$1492,0),0))</f>
        <v>79056</v>
      </c>
      <c r="H31" s="361">
        <f t="shared" ca="1" si="12"/>
        <v>0</v>
      </c>
      <c r="I31" s="361">
        <f t="shared" ca="1" si="13"/>
        <v>158112</v>
      </c>
      <c r="J31" s="361">
        <f t="shared" ca="1" si="14"/>
        <v>0</v>
      </c>
      <c r="K31" s="362">
        <f t="shared" ca="1" si="15"/>
        <v>158112</v>
      </c>
      <c r="L31" s="411"/>
      <c r="M31" s="411"/>
      <c r="N31" s="369"/>
      <c r="O31" s="344"/>
      <c r="P31" s="344"/>
      <c r="Q31" s="344"/>
    </row>
    <row r="32" spans="1:22" s="365" customFormat="1">
      <c r="A32" s="336"/>
      <c r="B32" s="514">
        <v>11</v>
      </c>
      <c r="C32" s="516" t="s">
        <v>1049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89">
        <f>F21*1</f>
        <v>1</v>
      </c>
      <c r="G32" s="360">
        <f ca="1">IF(ISERROR(OFFSET('HARGA SATUAN'!$I$6,MATCH(RAB!C32,'HARGA SATUAN'!$C$7:$C$1492,0),0)),0,OFFSET('HARGA SATUAN'!$I$6,MATCH(RAB!C32,'HARGA SATUAN'!$C$7:$C$1492,0),0))</f>
        <v>81984</v>
      </c>
      <c r="H32" s="361">
        <f t="shared" ca="1" si="12"/>
        <v>0</v>
      </c>
      <c r="I32" s="361">
        <f t="shared" ca="1" si="13"/>
        <v>81984</v>
      </c>
      <c r="J32" s="361">
        <f t="shared" ca="1" si="14"/>
        <v>0</v>
      </c>
      <c r="K32" s="362">
        <f t="shared" ca="1" si="15"/>
        <v>81984</v>
      </c>
      <c r="L32" s="411"/>
      <c r="M32" s="411"/>
      <c r="N32" s="369"/>
      <c r="O32" s="344"/>
      <c r="P32" s="344"/>
      <c r="Q32" s="344"/>
    </row>
    <row r="33" spans="1:22" s="365" customFormat="1">
      <c r="A33" s="336"/>
      <c r="B33" s="514">
        <v>12</v>
      </c>
      <c r="C33" s="516" t="s">
        <v>1050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89">
        <f>F21*2</f>
        <v>2</v>
      </c>
      <c r="G33" s="360">
        <f ca="1">IF(ISERROR(OFFSET('HARGA SATUAN'!$I$6,MATCH(RAB!C33,'HARGA SATUAN'!$C$7:$C$1492,0),0)),0,OFFSET('HARGA SATUAN'!$I$6,MATCH(RAB!C33,'HARGA SATUAN'!$C$7:$C$1492,0),0))</f>
        <v>7320</v>
      </c>
      <c r="H33" s="361">
        <f t="shared" ca="1" si="12"/>
        <v>0</v>
      </c>
      <c r="I33" s="361">
        <f t="shared" ca="1" si="13"/>
        <v>14640</v>
      </c>
      <c r="J33" s="361">
        <f t="shared" ca="1" si="14"/>
        <v>0</v>
      </c>
      <c r="K33" s="362">
        <f t="shared" ca="1" si="15"/>
        <v>14640</v>
      </c>
      <c r="L33" s="411"/>
      <c r="M33" s="411"/>
      <c r="N33" s="369"/>
      <c r="O33" s="344"/>
      <c r="P33" s="344"/>
      <c r="Q33" s="344"/>
    </row>
    <row r="34" spans="1:22" s="365" customFormat="1">
      <c r="A34" s="336"/>
      <c r="B34" s="514">
        <v>13</v>
      </c>
      <c r="C34" s="516" t="s">
        <v>1051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89">
        <f>F21*1</f>
        <v>1</v>
      </c>
      <c r="G34" s="360">
        <f ca="1">IF(ISERROR(OFFSET('HARGA SATUAN'!$I$6,MATCH(RAB!C34,'HARGA SATUAN'!$C$7:$C$1492,0),0)),0,OFFSET('HARGA SATUAN'!$I$6,MATCH(RAB!C34,'HARGA SATUAN'!$C$7:$C$1492,0),0))</f>
        <v>8784</v>
      </c>
      <c r="H34" s="361">
        <f t="shared" ca="1" si="12"/>
        <v>0</v>
      </c>
      <c r="I34" s="361">
        <f t="shared" ca="1" si="13"/>
        <v>8784</v>
      </c>
      <c r="J34" s="361">
        <f t="shared" ca="1" si="14"/>
        <v>0</v>
      </c>
      <c r="K34" s="362">
        <f t="shared" ca="1" si="15"/>
        <v>8784</v>
      </c>
      <c r="L34" s="411"/>
      <c r="M34" s="411"/>
      <c r="N34" s="369"/>
      <c r="O34" s="344"/>
      <c r="P34" s="344"/>
      <c r="Q34" s="344"/>
    </row>
    <row r="35" spans="1:22" s="365" customFormat="1">
      <c r="A35" s="336"/>
      <c r="B35" s="514">
        <v>14</v>
      </c>
      <c r="C35" s="516" t="s">
        <v>1052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89">
        <f>F21*(2*1.5)</f>
        <v>3</v>
      </c>
      <c r="G35" s="360">
        <f ca="1">IF(ISERROR(OFFSET('HARGA SATUAN'!$I$6,MATCH(RAB!C35,'HARGA SATUAN'!$C$7:$C$1492,0),0)),0,OFFSET('HARGA SATUAN'!$I$6,MATCH(RAB!C35,'HARGA SATUAN'!$C$7:$C$1492,0),0))</f>
        <v>52704</v>
      </c>
      <c r="H35" s="361">
        <f t="shared" ca="1" si="12"/>
        <v>0</v>
      </c>
      <c r="I35" s="361">
        <f t="shared" ca="1" si="13"/>
        <v>158112</v>
      </c>
      <c r="J35" s="361">
        <f t="shared" ca="1" si="14"/>
        <v>0</v>
      </c>
      <c r="K35" s="362">
        <f t="shared" ca="1" si="15"/>
        <v>158112</v>
      </c>
      <c r="L35" s="411"/>
      <c r="M35" s="411"/>
      <c r="N35" s="369"/>
      <c r="O35" s="344"/>
      <c r="P35" s="344"/>
      <c r="Q35" s="344"/>
    </row>
    <row r="36" spans="1:22" s="365" customFormat="1">
      <c r="A36" s="336"/>
      <c r="B36" s="514">
        <v>15</v>
      </c>
      <c r="C36" s="516" t="s">
        <v>1053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89">
        <f>F21*1.5</f>
        <v>1.5</v>
      </c>
      <c r="G36" s="360">
        <f ca="1">IF(ISERROR(OFFSET('HARGA SATUAN'!$I$6,MATCH(RAB!C36,'HARGA SATUAN'!$C$7:$C$1492,0),0)),0,OFFSET('HARGA SATUAN'!$I$6,MATCH(RAB!C36,'HARGA SATUAN'!$C$7:$C$1492,0),0))</f>
        <v>67344</v>
      </c>
      <c r="H36" s="361">
        <f t="shared" ca="1" si="12"/>
        <v>0</v>
      </c>
      <c r="I36" s="361">
        <f t="shared" ca="1" si="13"/>
        <v>101016</v>
      </c>
      <c r="J36" s="361">
        <f t="shared" ca="1" si="14"/>
        <v>0</v>
      </c>
      <c r="K36" s="362">
        <f t="shared" ca="1" si="15"/>
        <v>101016</v>
      </c>
      <c r="L36" s="411"/>
      <c r="M36" s="411"/>
      <c r="N36" s="369"/>
      <c r="O36" s="344"/>
      <c r="P36" s="344"/>
      <c r="Q36" s="344"/>
    </row>
    <row r="37" spans="1:22" s="365" customFormat="1">
      <c r="A37" s="336"/>
      <c r="B37" s="514">
        <v>16</v>
      </c>
      <c r="C37" s="516" t="s">
        <v>1623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489">
        <f>F21*16</f>
        <v>16</v>
      </c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12"/>
        <v>0</v>
      </c>
      <c r="I37" s="361">
        <f t="shared" ca="1" si="13"/>
        <v>0</v>
      </c>
      <c r="J37" s="361">
        <f t="shared" ca="1" si="14"/>
        <v>0</v>
      </c>
      <c r="K37" s="362">
        <f t="shared" ca="1" si="15"/>
        <v>0</v>
      </c>
      <c r="L37" s="411"/>
      <c r="M37" s="411"/>
      <c r="N37" s="369"/>
      <c r="O37" s="344"/>
      <c r="P37" s="344"/>
      <c r="Q37" s="344"/>
    </row>
    <row r="38" spans="1:22" s="365" customFormat="1">
      <c r="A38" s="336"/>
      <c r="B38" s="514">
        <v>17</v>
      </c>
      <c r="C38" s="516" t="s">
        <v>184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89">
        <f>F21*8</f>
        <v>8</v>
      </c>
      <c r="G38" s="360">
        <f ca="1">IF(ISERROR(OFFSET('HARGA SATUAN'!$I$6,MATCH(RAB!C38,'HARGA SATUAN'!$C$7:$C$1492,0),0)),0,OFFSET('HARGA SATUAN'!$I$6,MATCH(RAB!C38,'HARGA SATUAN'!$C$7:$C$1492,0),0))</f>
        <v>15900</v>
      </c>
      <c r="H38" s="361">
        <f t="shared" ca="1" si="12"/>
        <v>0</v>
      </c>
      <c r="I38" s="361">
        <f t="shared" ca="1" si="13"/>
        <v>127200</v>
      </c>
      <c r="J38" s="361">
        <f t="shared" ca="1" si="14"/>
        <v>0</v>
      </c>
      <c r="K38" s="362">
        <f t="shared" ca="1" si="15"/>
        <v>127200</v>
      </c>
      <c r="L38" s="411"/>
      <c r="M38" s="411"/>
      <c r="N38" s="369"/>
      <c r="O38" s="344"/>
      <c r="P38" s="344"/>
      <c r="Q38" s="344"/>
    </row>
    <row r="39" spans="1:22" s="365" customFormat="1" ht="30">
      <c r="A39" s="336"/>
      <c r="B39" s="514">
        <v>18</v>
      </c>
      <c r="C39" s="109" t="s">
        <v>1165</v>
      </c>
      <c r="D39" s="358" t="str">
        <f ca="1">IF(ISERROR(OFFSET('HARGA SATUAN'!$D$6,MATCH(RAB!C39,'HARGA SATUAN'!$C$7:$C$1492,0),0)),"",OFFSET('HARGA SATUAN'!$D$6,MATCH(RAB!C39,'HARGA SATUAN'!$C$7:$C$1492,0),0))</f>
        <v>JASA</v>
      </c>
      <c r="E39" s="359" t="str">
        <f ca="1">IF(B39="+","Unit",IF(ISERROR(OFFSET('HARGA SATUAN'!$E$6,MATCH(RAB!C39,'HARGA SATUAN'!$C$7:$C$1492,0),0)),"",OFFSET('HARGA SATUAN'!$E$6,MATCH(RAB!C39,'HARGA SATUAN'!$C$7:$C$1492,0),0)))</f>
        <v>Unit</v>
      </c>
      <c r="F39" s="489">
        <f>F21*1</f>
        <v>1</v>
      </c>
      <c r="G39" s="360">
        <f ca="1">IF(ISERROR(OFFSET('HARGA SATUAN'!$I$6,MATCH(RAB!C39,'HARGA SATUAN'!$C$7:$C$1492,0),0)),0,OFFSET('HARGA SATUAN'!$I$6,MATCH(RAB!C39,'HARGA SATUAN'!$C$7:$C$1492,0),0))</f>
        <v>614700</v>
      </c>
      <c r="H39" s="361">
        <f t="shared" ca="1" si="12"/>
        <v>0</v>
      </c>
      <c r="I39" s="361">
        <f t="shared" ca="1" si="13"/>
        <v>0</v>
      </c>
      <c r="J39" s="361">
        <f t="shared" ca="1" si="14"/>
        <v>614700</v>
      </c>
      <c r="K39" s="362">
        <f t="shared" ca="1" si="15"/>
        <v>614700</v>
      </c>
      <c r="L39" s="411"/>
      <c r="M39" s="411"/>
      <c r="N39" s="369"/>
      <c r="O39" s="344"/>
      <c r="P39" s="344"/>
      <c r="Q39" s="344"/>
    </row>
    <row r="40" spans="1:22" s="365" customFormat="1">
      <c r="A40" s="336"/>
      <c r="B40" s="514"/>
      <c r="C40" s="109"/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371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12"/>
        <v>0</v>
      </c>
      <c r="I40" s="361">
        <f t="shared" ca="1" si="13"/>
        <v>0</v>
      </c>
      <c r="J40" s="361">
        <f t="shared" ca="1" si="14"/>
        <v>0</v>
      </c>
      <c r="K40" s="362">
        <f t="shared" ca="1" si="15"/>
        <v>0</v>
      </c>
      <c r="L40" s="411"/>
      <c r="M40" s="411"/>
      <c r="N40" s="369"/>
      <c r="O40" s="344"/>
      <c r="P40" s="344"/>
      <c r="Q40" s="344"/>
    </row>
    <row r="41" spans="1:22" s="365" customFormat="1">
      <c r="A41" s="336"/>
      <c r="B41" s="514" t="s">
        <v>1035</v>
      </c>
      <c r="C41" s="515" t="s">
        <v>1624</v>
      </c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489">
        <v>1</v>
      </c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12"/>
        <v>0</v>
      </c>
      <c r="I41" s="361">
        <f t="shared" ca="1" si="13"/>
        <v>0</v>
      </c>
      <c r="J41" s="361">
        <f t="shared" ca="1" si="14"/>
        <v>0</v>
      </c>
      <c r="K41" s="362">
        <f t="shared" ca="1" si="15"/>
        <v>0</v>
      </c>
      <c r="L41" s="411"/>
      <c r="M41" s="411"/>
      <c r="N41" s="369"/>
      <c r="O41" s="344"/>
      <c r="P41" s="344"/>
      <c r="Q41" s="344"/>
    </row>
    <row r="42" spans="1:22" s="365" customFormat="1">
      <c r="A42" s="336"/>
      <c r="B42" s="514">
        <v>1</v>
      </c>
      <c r="C42" s="515" t="s">
        <v>29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89">
        <f>F41*1</f>
        <v>1</v>
      </c>
      <c r="G42" s="360">
        <f ca="1">IF(ISERROR(OFFSET('HARGA SATUAN'!$I$6,MATCH(RAB!C42,'HARGA SATUAN'!$C$7:$C$1492,0),0)),0,OFFSET('HARGA SATUAN'!$I$6,MATCH(RAB!C42,'HARGA SATUAN'!$C$7:$C$1492,0),0))</f>
        <v>185200</v>
      </c>
      <c r="H42" s="361">
        <f t="shared" ca="1" si="12"/>
        <v>0</v>
      </c>
      <c r="I42" s="361">
        <f t="shared" ca="1" si="13"/>
        <v>185200</v>
      </c>
      <c r="J42" s="361">
        <f t="shared" ca="1" si="14"/>
        <v>0</v>
      </c>
      <c r="K42" s="362">
        <f t="shared" ca="1" si="15"/>
        <v>185200</v>
      </c>
      <c r="L42" s="411"/>
      <c r="M42" s="411"/>
      <c r="N42" s="369"/>
      <c r="O42" s="344"/>
      <c r="P42" s="344"/>
      <c r="Q42" s="344"/>
    </row>
    <row r="43" spans="1:22" s="365" customFormat="1">
      <c r="A43" s="336"/>
      <c r="B43" s="514">
        <v>2</v>
      </c>
      <c r="C43" s="515" t="s">
        <v>30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489">
        <f>F41*1</f>
        <v>1</v>
      </c>
      <c r="G43" s="360">
        <f ca="1">IF(ISERROR(OFFSET('HARGA SATUAN'!$I$6,MATCH(RAB!C43,'HARGA SATUAN'!$C$7:$C$1492,0),0)),0,OFFSET('HARGA SATUAN'!$I$6,MATCH(RAB!C43,'HARGA SATUAN'!$C$7:$C$1492,0),0))</f>
        <v>47459</v>
      </c>
      <c r="H43" s="361">
        <f t="shared" ca="1" si="12"/>
        <v>0</v>
      </c>
      <c r="I43" s="361">
        <f t="shared" ca="1" si="13"/>
        <v>47459</v>
      </c>
      <c r="J43" s="361">
        <f t="shared" ca="1" si="14"/>
        <v>0</v>
      </c>
      <c r="K43" s="362">
        <f t="shared" ca="1" si="15"/>
        <v>47459</v>
      </c>
      <c r="L43" s="411"/>
      <c r="M43" s="411"/>
      <c r="N43" s="369"/>
      <c r="O43" s="344"/>
      <c r="P43" s="344"/>
      <c r="Q43" s="344"/>
    </row>
    <row r="44" spans="1:22" s="365" customFormat="1">
      <c r="A44" s="336"/>
      <c r="B44" s="514">
        <v>3</v>
      </c>
      <c r="C44" s="515" t="s">
        <v>32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Mtr</v>
      </c>
      <c r="F44" s="489">
        <f>F41*1.5</f>
        <v>1.5</v>
      </c>
      <c r="G44" s="360">
        <f ca="1">IF(ISERROR(OFFSET('HARGA SATUAN'!$I$6,MATCH(RAB!C44,'HARGA SATUAN'!$C$7:$C$1492,0),0)),0,OFFSET('HARGA SATUAN'!$I$6,MATCH(RAB!C44,'HARGA SATUAN'!$C$7:$C$1492,0),0))</f>
        <v>30000</v>
      </c>
      <c r="H44" s="361">
        <f t="shared" ca="1" si="12"/>
        <v>0</v>
      </c>
      <c r="I44" s="361">
        <f t="shared" ca="1" si="13"/>
        <v>45000</v>
      </c>
      <c r="J44" s="361">
        <f t="shared" ca="1" si="14"/>
        <v>0</v>
      </c>
      <c r="K44" s="362">
        <f t="shared" ca="1" si="15"/>
        <v>45000</v>
      </c>
      <c r="L44" s="411"/>
      <c r="M44" s="411"/>
      <c r="N44" s="369"/>
      <c r="O44" s="344"/>
      <c r="P44" s="344"/>
      <c r="Q44" s="344"/>
    </row>
    <row r="45" spans="1:22" s="365" customFormat="1">
      <c r="A45" s="336"/>
      <c r="B45" s="514">
        <v>4</v>
      </c>
      <c r="C45" s="515" t="s">
        <v>33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89">
        <f>F41*2</f>
        <v>2</v>
      </c>
      <c r="G45" s="360">
        <f ca="1">IF(ISERROR(OFFSET('HARGA SATUAN'!$I$6,MATCH(RAB!C45,'HARGA SATUAN'!$C$7:$C$1492,0),0)),0,OFFSET('HARGA SATUAN'!$I$6,MATCH(RAB!C45,'HARGA SATUAN'!$C$7:$C$1492,0),0))</f>
        <v>9500</v>
      </c>
      <c r="H45" s="361">
        <f t="shared" ca="1" si="12"/>
        <v>0</v>
      </c>
      <c r="I45" s="361">
        <f t="shared" ca="1" si="13"/>
        <v>19000</v>
      </c>
      <c r="J45" s="361">
        <f t="shared" ca="1" si="14"/>
        <v>0</v>
      </c>
      <c r="K45" s="362">
        <f t="shared" ca="1" si="15"/>
        <v>19000</v>
      </c>
      <c r="L45" s="411"/>
      <c r="M45" s="411"/>
      <c r="N45" s="369"/>
      <c r="O45" s="344"/>
      <c r="P45" s="344"/>
      <c r="Q45" s="344"/>
    </row>
    <row r="46" spans="1:22" s="365" customFormat="1">
      <c r="A46" s="336"/>
      <c r="B46" s="514">
        <v>5</v>
      </c>
      <c r="C46" s="515" t="s">
        <v>735</v>
      </c>
      <c r="D46" s="358" t="str">
        <f ca="1">IF(ISERROR(OFFSET('HARGA SATUAN'!$D$6,MATCH(RAB!C46,'HARGA SATUAN'!$C$7:$C$1492,0),0)),"",OFFSET('HARGA SATUAN'!$D$6,MATCH(RAB!C46,'HARGA SATUAN'!$C$7:$C$1492,0),0))</f>
        <v>JASA</v>
      </c>
      <c r="E46" s="359" t="str">
        <f ca="1">IF(B46="+","Unit",IF(ISERROR(OFFSET('HARGA SATUAN'!$E$6,MATCH(RAB!C46,'HARGA SATUAN'!$C$7:$C$1492,0),0)),"",OFFSET('HARGA SATUAN'!$E$6,MATCH(RAB!C46,'HARGA SATUAN'!$C$7:$C$1492,0),0)))</f>
        <v>Unit</v>
      </c>
      <c r="F46" s="489">
        <f>F41*1</f>
        <v>1</v>
      </c>
      <c r="G46" s="360">
        <f ca="1">IF(ISERROR(OFFSET('HARGA SATUAN'!$I$6,MATCH(RAB!C46,'HARGA SATUAN'!$C$7:$C$1492,0),0)),0,OFFSET('HARGA SATUAN'!$I$6,MATCH(RAB!C46,'HARGA SATUAN'!$C$7:$C$1492,0),0))</f>
        <v>56400</v>
      </c>
      <c r="H46" s="361">
        <f t="shared" ca="1" si="12"/>
        <v>0</v>
      </c>
      <c r="I46" s="361">
        <f t="shared" ca="1" si="13"/>
        <v>0</v>
      </c>
      <c r="J46" s="361">
        <f t="shared" ca="1" si="14"/>
        <v>56400</v>
      </c>
      <c r="K46" s="362">
        <f t="shared" ca="1" si="15"/>
        <v>56400</v>
      </c>
      <c r="L46" s="411"/>
      <c r="M46" s="411"/>
      <c r="N46" s="369"/>
      <c r="O46" s="344"/>
      <c r="P46" s="344"/>
      <c r="Q46" s="344"/>
    </row>
    <row r="47" spans="1:22" s="365" customFormat="1">
      <c r="A47" s="336"/>
      <c r="B47" s="514"/>
      <c r="C47" s="109"/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371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12"/>
        <v>0</v>
      </c>
      <c r="I47" s="361">
        <f t="shared" ca="1" si="13"/>
        <v>0</v>
      </c>
      <c r="J47" s="361">
        <f t="shared" ca="1" si="14"/>
        <v>0</v>
      </c>
      <c r="K47" s="362">
        <f t="shared" ca="1" si="15"/>
        <v>0</v>
      </c>
      <c r="L47" s="411"/>
      <c r="M47" s="411"/>
      <c r="N47" s="369"/>
      <c r="O47" s="344"/>
      <c r="P47" s="344"/>
      <c r="Q47" s="344"/>
    </row>
    <row r="48" spans="1:22" s="365" customFormat="1">
      <c r="A48" s="336"/>
      <c r="B48" s="377" t="s">
        <v>1551</v>
      </c>
      <c r="C48" s="378" t="s">
        <v>1458</v>
      </c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371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12"/>
        <v>0</v>
      </c>
      <c r="I48" s="361">
        <f t="shared" ca="1" si="13"/>
        <v>0</v>
      </c>
      <c r="J48" s="361">
        <f t="shared" ca="1" si="14"/>
        <v>0</v>
      </c>
      <c r="K48" s="362">
        <f t="shared" ca="1" si="15"/>
        <v>0</v>
      </c>
      <c r="L48" s="342"/>
      <c r="M48" s="342"/>
      <c r="N48" s="369"/>
      <c r="O48" s="344"/>
      <c r="P48" s="344"/>
      <c r="Q48" s="403"/>
      <c r="R48" s="344"/>
      <c r="S48" s="403"/>
      <c r="T48" s="404"/>
      <c r="U48" s="404"/>
      <c r="V48" s="404"/>
    </row>
    <row r="49" spans="1:22" s="365" customFormat="1">
      <c r="A49" s="336"/>
      <c r="B49" s="507" t="s">
        <v>1035</v>
      </c>
      <c r="C49" s="508" t="s">
        <v>1617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510">
        <v>1</v>
      </c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ref="H49:H64" ca="1" si="16">IF(OR(D49="MDU",D49="MDU-KD"),(IF($O$3="RAB NON MDU","PLN KD",G49*F49)),0)</f>
        <v>0</v>
      </c>
      <c r="I49" s="361">
        <f t="shared" ref="I49:I64" ca="1" si="17">IF(D49="HDW",G49*F49,0)</f>
        <v>0</v>
      </c>
      <c r="J49" s="361">
        <f t="shared" ref="J49:J64" ca="1" si="18">IF(D49="JASA",G49*F49,0)</f>
        <v>0</v>
      </c>
      <c r="K49" s="362">
        <f t="shared" ref="K49:K64" ca="1" si="19">SUM(H49:J49)</f>
        <v>0</v>
      </c>
      <c r="L49" s="342"/>
      <c r="M49" s="342"/>
      <c r="N49" s="369"/>
      <c r="O49" s="344"/>
      <c r="P49" s="344"/>
      <c r="Q49" s="344"/>
      <c r="R49" s="344"/>
      <c r="S49" s="344"/>
      <c r="T49" s="408"/>
      <c r="U49" s="408"/>
      <c r="V49" s="408"/>
    </row>
    <row r="50" spans="1:22" s="365" customFormat="1" ht="30">
      <c r="A50" s="336"/>
      <c r="B50" s="506">
        <v>1</v>
      </c>
      <c r="C50" s="109" t="s">
        <v>1197</v>
      </c>
      <c r="D50" s="358" t="s">
        <v>1620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10">
        <f>F49*1</f>
        <v>1</v>
      </c>
      <c r="G50" s="360">
        <f ca="1">IF(ISERROR(OFFSET('HARGA SATUAN'!$I$6,MATCH(RAB!C50,'HARGA SATUAN'!$C$7:$C$1492,0),0)),0,OFFSET('HARGA SATUAN'!$I$6,MATCH(RAB!C50,'HARGA SATUAN'!$C$7:$C$1492,0),0))</f>
        <v>1427400</v>
      </c>
      <c r="H50" s="361">
        <f t="shared" ref="H50:H55" si="20">IF(OR(D50="MDU",D50="MDU-KD"),(IF($O$3="RAB NON MDU","PLN KD",G50*F50)),0)</f>
        <v>0</v>
      </c>
      <c r="I50" s="361">
        <f t="shared" ref="I50:I55" si="21">IF(D50="HDW",G50*F50,0)</f>
        <v>0</v>
      </c>
      <c r="J50" s="361">
        <f t="shared" ref="J50:J55" si="22">IF(D50="JASA",G50*F50,0)</f>
        <v>0</v>
      </c>
      <c r="K50" s="362">
        <f t="shared" ref="K50:K55" si="23">SUM(H50:J50)</f>
        <v>0</v>
      </c>
      <c r="L50" s="342"/>
      <c r="M50" s="342"/>
      <c r="N50" s="369"/>
      <c r="O50" s="344"/>
      <c r="P50" s="344"/>
      <c r="Q50" s="344"/>
      <c r="R50" s="344"/>
      <c r="S50" s="344"/>
      <c r="T50" s="404"/>
      <c r="U50" s="404"/>
      <c r="V50" s="404"/>
    </row>
    <row r="51" spans="1:22" s="365" customFormat="1">
      <c r="A51" s="336"/>
      <c r="B51" s="506">
        <v>2</v>
      </c>
      <c r="C51" s="109" t="s">
        <v>495</v>
      </c>
      <c r="D51" s="358" t="str">
        <f ca="1">IF(ISERROR(OFFSET('HARGA SATUAN'!$D$6,MATCH(RAB!C51,'HARGA SATUAN'!$C$7:$C$1492,0),0)),"",OFFSET('HARGA SATUAN'!$D$6,MATCH(RAB!C51,'HARGA SATUAN'!$C$7:$C$1492,0),0))</f>
        <v>MDU-KD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10">
        <f>F49*1</f>
        <v>1</v>
      </c>
      <c r="G51" s="360">
        <f ca="1">IF(ISERROR(OFFSET('HARGA SATUAN'!$I$6,MATCH(RAB!C51,'HARGA SATUAN'!$C$7:$C$1492,0),0)),0,OFFSET('HARGA SATUAN'!$I$6,MATCH(RAB!C51,'HARGA SATUAN'!$C$7:$C$1492,0),0))</f>
        <v>172800</v>
      </c>
      <c r="H51" s="361">
        <f t="shared" ca="1" si="20"/>
        <v>172800</v>
      </c>
      <c r="I51" s="361">
        <f t="shared" ca="1" si="21"/>
        <v>0</v>
      </c>
      <c r="J51" s="361">
        <f t="shared" ca="1" si="22"/>
        <v>0</v>
      </c>
      <c r="K51" s="362">
        <f t="shared" ca="1" si="23"/>
        <v>172800</v>
      </c>
      <c r="L51" s="342"/>
      <c r="M51" s="342"/>
      <c r="N51" s="369"/>
      <c r="O51" s="344"/>
      <c r="P51" s="344"/>
      <c r="Q51" s="344"/>
      <c r="R51" s="344"/>
      <c r="S51" s="344"/>
      <c r="T51" s="404"/>
      <c r="U51" s="404"/>
      <c r="V51" s="404"/>
    </row>
    <row r="52" spans="1:22" s="365" customFormat="1">
      <c r="A52" s="336"/>
      <c r="B52" s="506">
        <v>3</v>
      </c>
      <c r="C52" s="509" t="s">
        <v>77</v>
      </c>
      <c r="D52" s="358" t="str">
        <f ca="1">IF(ISERROR(OFFSET('HARGA SATUAN'!$D$6,MATCH(RAB!C52,'HARGA SATUAN'!$C$7:$C$1492,0),0)),"",OFFSET('HARGA SATUAN'!$D$6,MATCH(RAB!C52,'HARGA SATUAN'!$C$7:$C$1492,0),0))</f>
        <v>MDU-KD</v>
      </c>
      <c r="E52" s="359" t="str">
        <f ca="1">IF(B52="+","Unit",IF(ISERROR(OFFSET('HARGA SATUAN'!$E$6,MATCH(RAB!C52,'HARGA SATUAN'!$C$7:$C$1492,0),0)),"",OFFSET('HARGA SATUAN'!$E$6,MATCH(RAB!C52,'HARGA SATUAN'!$C$7:$C$1492,0),0)))</f>
        <v>Mtr</v>
      </c>
      <c r="F52" s="510">
        <v>20</v>
      </c>
      <c r="G52" s="360">
        <f ca="1">IF(ISERROR(OFFSET('HARGA SATUAN'!$I$6,MATCH(RAB!C52,'HARGA SATUAN'!$C$7:$C$1492,0),0)),0,OFFSET('HARGA SATUAN'!$I$6,MATCH(RAB!C52,'HARGA SATUAN'!$C$7:$C$1492,0),0))</f>
        <v>13500</v>
      </c>
      <c r="H52" s="361">
        <f t="shared" ca="1" si="20"/>
        <v>270000</v>
      </c>
      <c r="I52" s="361">
        <f t="shared" ca="1" si="21"/>
        <v>0</v>
      </c>
      <c r="J52" s="361">
        <f t="shared" ca="1" si="22"/>
        <v>0</v>
      </c>
      <c r="K52" s="362">
        <f t="shared" ca="1" si="23"/>
        <v>270000</v>
      </c>
      <c r="L52" s="342"/>
      <c r="M52" s="342"/>
      <c r="N52" s="369"/>
      <c r="O52" s="344"/>
      <c r="P52" s="344"/>
      <c r="Q52" s="344"/>
      <c r="R52" s="344"/>
      <c r="S52" s="344"/>
      <c r="T52" s="408"/>
      <c r="U52" s="408"/>
      <c r="V52" s="408"/>
    </row>
    <row r="53" spans="1:22" s="365" customFormat="1">
      <c r="A53" s="336"/>
      <c r="B53" s="506">
        <v>4</v>
      </c>
      <c r="C53" s="509" t="s">
        <v>799</v>
      </c>
      <c r="D53" s="358" t="str">
        <f ca="1">IF(ISERROR(OFFSET('HARGA SATUAN'!$D$6,MATCH(RAB!C53,'HARGA SATUAN'!$C$7:$C$1492,0),0)),"",OFFSET('HARGA SATUAN'!$D$6,MATCH(RAB!C53,'HARGA SATUAN'!$C$7:$C$1492,0),0))</f>
        <v>JASA</v>
      </c>
      <c r="E53" s="359" t="str">
        <f ca="1">IF(B53="+","Unit",IF(ISERROR(OFFSET('HARGA SATUAN'!$E$6,MATCH(RAB!C53,'HARGA SATUAN'!$C$7:$C$1492,0),0)),"",OFFSET('HARGA SATUAN'!$E$6,MATCH(RAB!C53,'HARGA SATUAN'!$C$7:$C$1492,0),0)))</f>
        <v>Unit</v>
      </c>
      <c r="F53" s="510">
        <f>F49*1</f>
        <v>1</v>
      </c>
      <c r="G53" s="360">
        <f ca="1">IF(ISERROR(OFFSET('HARGA SATUAN'!$I$6,MATCH(RAB!C53,'HARGA SATUAN'!$C$7:$C$1492,0),0)),0,OFFSET('HARGA SATUAN'!$I$6,MATCH(RAB!C53,'HARGA SATUAN'!$C$7:$C$1492,0),0))</f>
        <v>106400</v>
      </c>
      <c r="H53" s="361">
        <f t="shared" ca="1" si="20"/>
        <v>0</v>
      </c>
      <c r="I53" s="361">
        <f t="shared" ca="1" si="21"/>
        <v>0</v>
      </c>
      <c r="J53" s="361">
        <f t="shared" ca="1" si="22"/>
        <v>106400</v>
      </c>
      <c r="K53" s="362">
        <f t="shared" ca="1" si="23"/>
        <v>106400</v>
      </c>
      <c r="L53" s="411" t="e">
        <f ca="1">PROPER([94]!terbilang(K70))</f>
        <v>#NAME?</v>
      </c>
      <c r="M53" s="411"/>
      <c r="N53" s="369"/>
      <c r="O53" s="344"/>
      <c r="P53" s="344"/>
      <c r="Q53" s="344"/>
    </row>
    <row r="54" spans="1:22">
      <c r="B54" s="502"/>
      <c r="C54" s="503"/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/>
      </c>
      <c r="F54" s="489"/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20"/>
        <v>0</v>
      </c>
      <c r="I54" s="361">
        <f t="shared" ca="1" si="21"/>
        <v>0</v>
      </c>
      <c r="J54" s="361">
        <f t="shared" ca="1" si="22"/>
        <v>0</v>
      </c>
      <c r="K54" s="362">
        <f t="shared" ca="1" si="23"/>
        <v>0</v>
      </c>
    </row>
    <row r="55" spans="1:22">
      <c r="B55" s="512" t="s">
        <v>1035</v>
      </c>
      <c r="C55" s="511" t="s">
        <v>1616</v>
      </c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510">
        <v>1</v>
      </c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20"/>
        <v>0</v>
      </c>
      <c r="I55" s="361">
        <f t="shared" ca="1" si="21"/>
        <v>0</v>
      </c>
      <c r="J55" s="361">
        <f t="shared" ca="1" si="22"/>
        <v>0</v>
      </c>
      <c r="K55" s="362">
        <f t="shared" ca="1" si="23"/>
        <v>0</v>
      </c>
    </row>
    <row r="56" spans="1:22">
      <c r="B56" s="512">
        <v>1</v>
      </c>
      <c r="C56" s="511" t="s">
        <v>163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10">
        <f>F55*4</f>
        <v>4</v>
      </c>
      <c r="G56" s="360">
        <f ca="1">IF(ISERROR(OFFSET('HARGA SATUAN'!$I$6,MATCH(RAB!C56,'HARGA SATUAN'!$C$7:$C$1492,0),0)),0,OFFSET('HARGA SATUAN'!$I$6,MATCH(RAB!C56,'HARGA SATUAN'!$C$7:$C$1492,0),0))</f>
        <v>7938</v>
      </c>
      <c r="H56" s="361">
        <f t="shared" ref="H56:H62" ca="1" si="24">IF(OR(D56="MDU",D56="MDU-KD"),(IF($O$3="RAB NON MDU","PLN KD",G56*F56)),0)</f>
        <v>0</v>
      </c>
      <c r="I56" s="361">
        <f t="shared" ref="I56:I62" ca="1" si="25">IF(D56="HDW",G56*F56,0)</f>
        <v>31752</v>
      </c>
      <c r="J56" s="361">
        <f t="shared" ref="J56:J62" ca="1" si="26">IF(D56="JASA",G56*F56,0)</f>
        <v>0</v>
      </c>
      <c r="K56" s="362">
        <f t="shared" ref="K56:K62" ca="1" si="27">SUM(H56:J56)</f>
        <v>31752</v>
      </c>
    </row>
    <row r="57" spans="1:22">
      <c r="B57" s="512">
        <v>2</v>
      </c>
      <c r="C57" s="511" t="s">
        <v>593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10">
        <f>F55*1</f>
        <v>1</v>
      </c>
      <c r="G57" s="360">
        <f ca="1">IF(ISERROR(OFFSET('HARGA SATUAN'!$I$6,MATCH(RAB!C57,'HARGA SATUAN'!$C$7:$C$1492,0),0)),0,OFFSET('HARGA SATUAN'!$I$6,MATCH(RAB!C57,'HARGA SATUAN'!$C$7:$C$1492,0),0))</f>
        <v>380500</v>
      </c>
      <c r="H57" s="361">
        <f t="shared" ca="1" si="24"/>
        <v>0</v>
      </c>
      <c r="I57" s="361">
        <f t="shared" ca="1" si="25"/>
        <v>380500</v>
      </c>
      <c r="J57" s="361">
        <f t="shared" ca="1" si="26"/>
        <v>0</v>
      </c>
      <c r="K57" s="362">
        <f t="shared" ca="1" si="27"/>
        <v>380500</v>
      </c>
    </row>
    <row r="58" spans="1:22">
      <c r="B58" s="512">
        <v>3</v>
      </c>
      <c r="C58" s="511" t="s">
        <v>248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10">
        <f>F55*2</f>
        <v>2</v>
      </c>
      <c r="G58" s="360">
        <f ca="1">IF(ISERROR(OFFSET('HARGA SATUAN'!$I$6,MATCH(RAB!C58,'HARGA SATUAN'!$C$7:$C$1492,0),0)),0,OFFSET('HARGA SATUAN'!$I$6,MATCH(RAB!C58,'HARGA SATUAN'!$C$7:$C$1492,0),0))</f>
        <v>60300</v>
      </c>
      <c r="H58" s="361">
        <f t="shared" ca="1" si="24"/>
        <v>0</v>
      </c>
      <c r="I58" s="361">
        <f t="shared" ca="1" si="25"/>
        <v>120600</v>
      </c>
      <c r="J58" s="361">
        <f t="shared" ca="1" si="26"/>
        <v>0</v>
      </c>
      <c r="K58" s="362">
        <f t="shared" ca="1" si="27"/>
        <v>120600</v>
      </c>
    </row>
    <row r="59" spans="1:22">
      <c r="B59" s="512">
        <v>4</v>
      </c>
      <c r="C59" s="513" t="s">
        <v>595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489">
        <f>F55*1</f>
        <v>1</v>
      </c>
      <c r="G59" s="360">
        <f ca="1">IF(ISERROR(OFFSET('HARGA SATUAN'!$I$6,MATCH(RAB!C59,'HARGA SATUAN'!$C$7:$C$1492,0),0)),0,OFFSET('HARGA SATUAN'!$I$6,MATCH(RAB!C59,'HARGA SATUAN'!$C$7:$C$1492,0),0))</f>
        <v>78500</v>
      </c>
      <c r="H59" s="361">
        <f t="shared" ca="1" si="24"/>
        <v>0</v>
      </c>
      <c r="I59" s="361">
        <f t="shared" ca="1" si="25"/>
        <v>78500</v>
      </c>
      <c r="J59" s="361">
        <f t="shared" ca="1" si="26"/>
        <v>0</v>
      </c>
      <c r="K59" s="362">
        <f t="shared" ca="1" si="27"/>
        <v>78500</v>
      </c>
    </row>
    <row r="60" spans="1:22">
      <c r="B60" s="512">
        <v>5</v>
      </c>
      <c r="C60" s="513" t="s">
        <v>229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489">
        <f>F55*1</f>
        <v>1</v>
      </c>
      <c r="G60" s="360">
        <f ca="1">IF(ISERROR(OFFSET('HARGA SATUAN'!$I$6,MATCH(RAB!C60,'HARGA SATUAN'!$C$7:$C$1492,0),0)),0,OFFSET('HARGA SATUAN'!$I$6,MATCH(RAB!C60,'HARGA SATUAN'!$C$7:$C$1492,0),0))</f>
        <v>4212</v>
      </c>
      <c r="H60" s="361">
        <f t="shared" ca="1" si="24"/>
        <v>0</v>
      </c>
      <c r="I60" s="361">
        <f t="shared" ca="1" si="25"/>
        <v>4212</v>
      </c>
      <c r="J60" s="361">
        <f t="shared" ca="1" si="26"/>
        <v>0</v>
      </c>
      <c r="K60" s="362">
        <f t="shared" ca="1" si="27"/>
        <v>4212</v>
      </c>
    </row>
    <row r="61" spans="1:22">
      <c r="B61" s="512">
        <v>6</v>
      </c>
      <c r="C61" s="513" t="s">
        <v>266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Mtr</v>
      </c>
      <c r="F61" s="489">
        <f>F55*1</f>
        <v>1</v>
      </c>
      <c r="G61" s="360">
        <f ca="1">IF(ISERROR(OFFSET('HARGA SATUAN'!$I$6,MATCH(RAB!C61,'HARGA SATUAN'!$C$7:$C$1492,0),0)),0,OFFSET('HARGA SATUAN'!$I$6,MATCH(RAB!C61,'HARGA SATUAN'!$C$7:$C$1492,0),0))</f>
        <v>23310</v>
      </c>
      <c r="H61" s="361">
        <f t="shared" ca="1" si="24"/>
        <v>0</v>
      </c>
      <c r="I61" s="361">
        <f t="shared" ca="1" si="25"/>
        <v>23310</v>
      </c>
      <c r="J61" s="361">
        <f t="shared" ca="1" si="26"/>
        <v>0</v>
      </c>
      <c r="K61" s="362">
        <f t="shared" ca="1" si="27"/>
        <v>23310</v>
      </c>
    </row>
    <row r="62" spans="1:22">
      <c r="B62" s="512">
        <v>7</v>
      </c>
      <c r="C62" s="513" t="s">
        <v>35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489">
        <f>F55*1</f>
        <v>1</v>
      </c>
      <c r="G62" s="360">
        <f ca="1">IF(ISERROR(OFFSET('HARGA SATUAN'!$I$6,MATCH(RAB!C62,'HARGA SATUAN'!$C$7:$C$1492,0),0)),0,OFFSET('HARGA SATUAN'!$I$6,MATCH(RAB!C62,'HARGA SATUAN'!$C$7:$C$1492,0),0))</f>
        <v>2300</v>
      </c>
      <c r="H62" s="361">
        <f t="shared" ca="1" si="24"/>
        <v>0</v>
      </c>
      <c r="I62" s="361">
        <f t="shared" ca="1" si="25"/>
        <v>2300</v>
      </c>
      <c r="J62" s="361">
        <f t="shared" ca="1" si="26"/>
        <v>0</v>
      </c>
      <c r="K62" s="362">
        <f t="shared" ca="1" si="27"/>
        <v>2300</v>
      </c>
    </row>
    <row r="63" spans="1:22">
      <c r="B63" s="380"/>
      <c r="C63" s="376"/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/>
      </c>
      <c r="F63" s="489"/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ref="H63" ca="1" si="28">IF(OR(D63="MDU",D63="MDU-KD"),(IF($O$3="RAB NON MDU","PLN KD",G63*F63)),0)</f>
        <v>0</v>
      </c>
      <c r="I63" s="361">
        <f t="shared" ref="I63" ca="1" si="29">IF(D63="HDW",G63*F63,0)</f>
        <v>0</v>
      </c>
      <c r="J63" s="361">
        <f t="shared" ref="J63" ca="1" si="30">IF(D63="JASA",G63*F63,0)</f>
        <v>0</v>
      </c>
      <c r="K63" s="362">
        <f t="shared" ref="K63" ca="1" si="31">SUM(H63:J63)</f>
        <v>0</v>
      </c>
    </row>
    <row r="64" spans="1:22">
      <c r="B64" s="381"/>
      <c r="C64" s="382" t="s">
        <v>475</v>
      </c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/>
      </c>
      <c r="F64" s="489"/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16"/>
        <v>0</v>
      </c>
      <c r="I64" s="361">
        <f t="shared" ca="1" si="17"/>
        <v>0</v>
      </c>
      <c r="J64" s="361">
        <f t="shared" ca="1" si="18"/>
        <v>0</v>
      </c>
      <c r="K64" s="362">
        <f t="shared" ca="1" si="19"/>
        <v>0</v>
      </c>
    </row>
    <row r="65" spans="2:13">
      <c r="B65" s="384">
        <v>1</v>
      </c>
      <c r="C65" s="385" t="s">
        <v>1091</v>
      </c>
      <c r="D65" s="386" t="str">
        <f ca="1">IF(ISERROR(OFFSET('HARGA SATUAN'!$D$6,MATCH(RAB!C65,'HARGA SATUAN'!$C$7:$C$1492,0),0)),"",OFFSET('HARGA SATUAN'!$D$6,MATCH(RAB!C65,'HARGA SATUAN'!$C$7:$C$1492,0),0))</f>
        <v>JASA</v>
      </c>
      <c r="E65" s="387" t="str">
        <f ca="1">IF(ISERROR(OFFSET('HARGA SATUAN'!$E$6,MATCH(RAB!C65,'HARGA SATUAN'!$C$7:$C$1492,0),0)),"",OFFSET('HARGA SATUAN'!$E$6,MATCH(RAB!C65,'HARGA SATUAN'!$C$7:$C$1492,0),0))</f>
        <v>Lot</v>
      </c>
      <c r="F65" s="388">
        <v>1</v>
      </c>
      <c r="G65" s="389">
        <f ca="1">IF(ISERROR(OFFSET('HARGA SATUAN'!$I$6,MATCH(RAB!C65,'HARGA SATUAN'!$C$7:$C$1492,0),0)),0,OFFSET('HARGA SATUAN'!$I$6,MATCH(RAB!C65,'HARGA SATUAN'!$C$7:$C$1492,0),0))</f>
        <v>2.5000000000000001E-2</v>
      </c>
      <c r="H65" s="390"/>
      <c r="I65" s="390"/>
      <c r="J65" s="390">
        <f ca="1">SUM(K15:K53)*G65</f>
        <v>381191.47500000003</v>
      </c>
      <c r="K65" s="391">
        <f ca="1">SUM(H65:J65)</f>
        <v>381191.47500000003</v>
      </c>
    </row>
    <row r="66" spans="2:13">
      <c r="B66" s="392"/>
      <c r="C66" s="393"/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IF(ISERROR(OFFSET('HARGA SATUAN'!$E$6,MATCH(RAB!C66,'HARGA SATUAN'!$C$7:$C$1492,0),0)),"",OFFSET('HARGA SATUAN'!$E$6,MATCH(RAB!C66,'HARGA SATUAN'!$C$7:$C$1492,0),0))</f>
        <v/>
      </c>
      <c r="F66" s="383"/>
      <c r="G66" s="360" t="str">
        <f ca="1">IF(ISERROR(OFFSET('HARGA SATUAN'!$I$6,MATCH(RAB!C66,'HARGA SATUAN'!$C$7:$C$1492,0),0)),"",OFFSET('HARGA SATUAN'!$I$6,MATCH(RAB!C66,'HARGA SATUAN'!$C$7:$C$1492,0),0))</f>
        <v/>
      </c>
      <c r="H66" s="361">
        <f ca="1">IF(OR(D66="MDU",D66="MDU-KD"),IF(G66="PLN",0,G66*F66),0)</f>
        <v>0</v>
      </c>
      <c r="I66" s="361">
        <f ca="1">IF(D66="HDW",IF(G66="PLN",0,G66*F66),0)</f>
        <v>0</v>
      </c>
      <c r="J66" s="361">
        <f ca="1">IF(D66="JASA",IF(G66="PLN",0,G66*F66),0)</f>
        <v>0</v>
      </c>
      <c r="K66" s="362">
        <f ca="1">SUM(H66:J66)</f>
        <v>0</v>
      </c>
    </row>
    <row r="67" spans="2:13" ht="15.75" thickBot="1">
      <c r="B67" s="394"/>
      <c r="C67" s="395"/>
      <c r="D67" s="396"/>
      <c r="E67" s="397"/>
      <c r="F67" s="397"/>
      <c r="G67" s="397"/>
      <c r="H67" s="398"/>
      <c r="I67" s="398"/>
      <c r="J67" s="398"/>
      <c r="K67" s="399"/>
    </row>
    <row r="68" spans="2:13">
      <c r="B68" s="400"/>
      <c r="C68" s="635" t="s">
        <v>1008</v>
      </c>
      <c r="D68" s="635"/>
      <c r="E68" s="635"/>
      <c r="F68" s="635"/>
      <c r="G68" s="401" t="s">
        <v>9</v>
      </c>
      <c r="H68" s="402">
        <f ca="1">SUM(H14:H66)</f>
        <v>12072300</v>
      </c>
      <c r="I68" s="402">
        <f ca="1">SUM(I14:I66)</f>
        <v>3039033</v>
      </c>
      <c r="J68" s="402">
        <f ca="1">SUM(J14:J66)</f>
        <v>1158691.4750000001</v>
      </c>
      <c r="K68" s="402">
        <f ca="1">SUM(K14:K66)</f>
        <v>16270024.475</v>
      </c>
    </row>
    <row r="69" spans="2:13">
      <c r="B69" s="405"/>
      <c r="C69" s="618" t="s">
        <v>1461</v>
      </c>
      <c r="D69" s="618"/>
      <c r="E69" s="618"/>
      <c r="F69" s="618"/>
      <c r="G69" s="406" t="s">
        <v>9</v>
      </c>
      <c r="H69" s="407">
        <f ca="1">H68*0.11</f>
        <v>1327953</v>
      </c>
      <c r="I69" s="407">
        <f ca="1">I68*0.11</f>
        <v>334293.63</v>
      </c>
      <c r="J69" s="407">
        <f ca="1">J68*0.11</f>
        <v>127456.06225000002</v>
      </c>
      <c r="K69" s="407">
        <f ca="1">K68*0.11</f>
        <v>1789702.6922500001</v>
      </c>
    </row>
    <row r="70" spans="2:13" ht="15.75" thickBot="1">
      <c r="B70" s="405"/>
      <c r="C70" s="616" t="s">
        <v>463</v>
      </c>
      <c r="D70" s="616"/>
      <c r="E70" s="616"/>
      <c r="F70" s="616"/>
      <c r="G70" s="409" t="s">
        <v>9</v>
      </c>
      <c r="H70" s="410">
        <f ca="1">SUM(H68:H69)</f>
        <v>13400253</v>
      </c>
      <c r="I70" s="410">
        <f ca="1">SUM(I68:I69)</f>
        <v>3373326.63</v>
      </c>
      <c r="J70" s="409">
        <f ca="1">SUM(J68:J69)</f>
        <v>1286147.5372500001</v>
      </c>
      <c r="K70" s="409">
        <f ca="1">SUM(K68:K69)</f>
        <v>18059727.16725</v>
      </c>
      <c r="M70" s="494"/>
    </row>
    <row r="71" spans="2:13">
      <c r="B71" s="619" t="str">
        <f ca="1">"Terbilang : "&amp;PROPER(IF(K70=0,"nol",IF(K70&lt;0,"minus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IF(--MID(TEXT(ABS(K70),"000000000000000"),1,3)=0,"",MID(TEXT(ABS(K70),"000000000000000"),1,1)&amp;" ratus "&amp;MID(TEXT(ABS(K70),"000000000000000"),2,1)&amp;" puluh "&amp;MID(TEXT(ABS(K70),"000000000000000"),3,1)&amp;" trilyun ")&amp; IF(--MID(TEXT(ABS(K70),"000000000000000"),4,3)=0,"",MID(TEXT(ABS(K70),"000000000000000"),4,1)&amp;" ratus "&amp;MID(TEXT(ABS(K70),"000000000000000"),5,1)&amp;" puluh "&amp;MID(TEXT(ABS(K70),"000000000000000"),6,1)&amp;" milyar ")&amp; IF(--MID(TEXT(ABS(K70),"000000000000000"),7,3)=0,"",MID(TEXT(ABS(K70),"000000000000000"),7,1)&amp;" ratus "&amp;MID(TEXT(ABS(K70),"000000000000000"),8,1)&amp;" puluh "&amp;MID(TEXT(ABS(K70),"000000000000000"),9,1)&amp;" juta ")&amp; IF(--MID(TEXT(ABS(K70),"000000000000000"),10,3)=0,"",IF(--MID(TEXT(ABS(K70),"000000000000000"),10,3)=1,"*",MID(TEXT(ABS(K70),"000000000000000"),10,1)&amp;" ratus "&amp;MID(TEXT(ABS(K70),"000000000000000"),11,1)&amp;" puluh ")&amp;MID(TEXT(ABS(K70),"000000000000000"),12,1)&amp;" ribu ")&amp; IF(--MID(TEXT(ABS(K70),"000000000000000"),13,3)=0,"",MID(TEXT(ABS(K70),"000000000000000"),13,1)&amp;" ratus "&amp;MID(TEXT(ABS(K70),"000000000000000"),14,1)&amp;" puluh "&amp;MID(TEXT(ABS(K70),"000000000000000"),15,1)),1,"satu"),2,"dua"),3,"tiga"),4,"empat"),5,"lima"),6,"enam"),7,"tujuh"),8,"delapan"),9,"sembilan"),"0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Belas Juta Lima Puluh Sembilan Ribu Tujuh Ratus Dua Puluh Tujuh Rupiah</v>
      </c>
      <c r="C71" s="620"/>
      <c r="D71" s="620"/>
      <c r="E71" s="620"/>
      <c r="F71" s="620"/>
      <c r="G71" s="620"/>
      <c r="H71" s="620"/>
      <c r="I71" s="620"/>
      <c r="J71" s="620"/>
      <c r="K71" s="621"/>
    </row>
    <row r="72" spans="2:13">
      <c r="B72" s="622"/>
      <c r="C72" s="623"/>
      <c r="D72" s="623"/>
      <c r="E72" s="623"/>
      <c r="F72" s="623"/>
      <c r="G72" s="623"/>
      <c r="H72" s="623"/>
      <c r="I72" s="623"/>
      <c r="J72" s="623"/>
      <c r="K72" s="624"/>
    </row>
    <row r="73" spans="2:13" ht="15.75" thickBot="1">
      <c r="B73" s="412" t="str">
        <f>"Harga yang dipakai adalah "&amp;'HARGA SATUAN'!I5&amp;""</f>
        <v>Harga yang dipakai adalah RAB HSS 2023</v>
      </c>
      <c r="C73" s="413"/>
      <c r="D73" s="414"/>
      <c r="E73" s="414"/>
      <c r="F73" s="414"/>
      <c r="G73" s="415"/>
      <c r="H73" s="415"/>
      <c r="I73" s="415"/>
      <c r="J73" s="415"/>
      <c r="K73" s="416"/>
    </row>
    <row r="74" spans="2:13">
      <c r="C74" s="417"/>
      <c r="E74" s="419"/>
      <c r="F74" s="419"/>
      <c r="G74" s="419"/>
    </row>
    <row r="75" spans="2:13">
      <c r="C75" s="337"/>
      <c r="E75" s="419"/>
      <c r="F75" s="419"/>
      <c r="G75" s="419"/>
      <c r="H75" s="625"/>
      <c r="I75" s="625"/>
      <c r="J75" s="626"/>
      <c r="K75" s="626"/>
    </row>
    <row r="76" spans="2:13">
      <c r="C76" s="337"/>
      <c r="E76" s="419"/>
      <c r="F76" s="419"/>
      <c r="G76" s="419"/>
      <c r="H76" s="420"/>
      <c r="I76" s="615" t="s">
        <v>1625</v>
      </c>
      <c r="J76" s="615"/>
      <c r="K76" s="615"/>
    </row>
    <row r="77" spans="2:13">
      <c r="C77" s="337"/>
      <c r="E77" s="419"/>
      <c r="F77" s="419"/>
      <c r="G77" s="419"/>
      <c r="H77" s="420"/>
      <c r="I77" s="615" t="s">
        <v>1626</v>
      </c>
      <c r="J77" s="615"/>
      <c r="K77" s="615"/>
    </row>
    <row r="78" spans="2:13">
      <c r="C78" s="337"/>
      <c r="E78" s="419"/>
      <c r="F78" s="419"/>
      <c r="G78" s="419"/>
      <c r="H78" s="421"/>
      <c r="I78" s="422"/>
      <c r="J78" s="422"/>
      <c r="K78" s="422"/>
    </row>
    <row r="79" spans="2:13">
      <c r="C79" s="337"/>
      <c r="E79" s="419"/>
      <c r="F79" s="419"/>
      <c r="G79" s="419"/>
      <c r="H79" s="421"/>
      <c r="I79" s="421"/>
      <c r="J79" s="421"/>
      <c r="K79" s="421"/>
    </row>
    <row r="80" spans="2:13">
      <c r="C80" s="337"/>
      <c r="E80" s="419"/>
      <c r="F80" s="419"/>
      <c r="G80" s="419"/>
      <c r="H80" s="421"/>
      <c r="I80" s="421"/>
      <c r="J80" s="421"/>
      <c r="K80" s="421"/>
    </row>
    <row r="81" spans="3:11">
      <c r="C81" s="337"/>
      <c r="E81" s="419"/>
      <c r="F81" s="419"/>
      <c r="G81" s="419"/>
      <c r="H81" s="421"/>
      <c r="I81" s="421"/>
      <c r="J81" s="421"/>
      <c r="K81" s="421"/>
    </row>
    <row r="82" spans="3:11">
      <c r="C82" s="337"/>
      <c r="E82" s="419"/>
      <c r="F82" s="419"/>
      <c r="G82" s="419"/>
      <c r="H82" s="423"/>
      <c r="I82" s="615" t="s">
        <v>1627</v>
      </c>
      <c r="J82" s="615"/>
      <c r="K82" s="615"/>
    </row>
    <row r="83" spans="3:11">
      <c r="C83" s="417"/>
      <c r="E83" s="419"/>
      <c r="F83" s="419"/>
      <c r="G83" s="419"/>
      <c r="H83" s="421"/>
      <c r="I83" s="421"/>
      <c r="J83" s="421"/>
      <c r="K83" s="421"/>
    </row>
    <row r="84" spans="3:11">
      <c r="C84" s="417"/>
      <c r="E84" s="419"/>
      <c r="F84" s="419"/>
      <c r="G84" s="419"/>
      <c r="H84" s="421"/>
      <c r="I84" s="421"/>
      <c r="J84" s="421"/>
      <c r="K84" s="421"/>
    </row>
    <row r="85" spans="3:11">
      <c r="C85" s="417"/>
      <c r="E85" s="419"/>
      <c r="F85" s="419"/>
      <c r="G85" s="419"/>
      <c r="H85" s="421"/>
      <c r="I85" s="421"/>
      <c r="J85" s="421"/>
      <c r="K85" s="421"/>
    </row>
  </sheetData>
  <sheetProtection sort="0" autoFilter="0"/>
  <protectedRanges>
    <protectedRange sqref="B63" name="Range1_1"/>
    <protectedRange sqref="F14:F15" name="Range1_1_2_2"/>
    <protectedRange sqref="B19:C22 C54 C63 B47:C48 B24:C40 B23" name="Range1_1_1"/>
    <protectedRange sqref="B49:C49 C53 B50:B54" name="Range1_6_1"/>
    <protectedRange sqref="C52" name="Range1_1_2_2_1"/>
    <protectedRange sqref="C50" name="Range1_1_2_5"/>
    <protectedRange sqref="B55:C62" name="Range1_6"/>
    <protectedRange sqref="C51" name="Range1_1_3_1"/>
    <protectedRange sqref="C23" name="Range1_1_3"/>
  </protectedRanges>
  <mergeCells count="22">
    <mergeCell ref="O3:P4"/>
    <mergeCell ref="B4:K4"/>
    <mergeCell ref="C68:F68"/>
    <mergeCell ref="B11:B13"/>
    <mergeCell ref="C11:C13"/>
    <mergeCell ref="D11:D13"/>
    <mergeCell ref="E11:E13"/>
    <mergeCell ref="F11:F13"/>
    <mergeCell ref="G11:G13"/>
    <mergeCell ref="I12:I13"/>
    <mergeCell ref="I77:K77"/>
    <mergeCell ref="I82:K82"/>
    <mergeCell ref="C70:F70"/>
    <mergeCell ref="G6:K6"/>
    <mergeCell ref="I76:K76"/>
    <mergeCell ref="C69:F69"/>
    <mergeCell ref="B71:K72"/>
    <mergeCell ref="H75:K75"/>
    <mergeCell ref="H11:K11"/>
    <mergeCell ref="H12:H13"/>
    <mergeCell ref="J12:J13"/>
    <mergeCell ref="K12:K13"/>
  </mergeCells>
  <phoneticPr fontId="136" type="noConversion"/>
  <conditionalFormatting sqref="C15 C47">
    <cfRule type="cellIs" dxfId="8" priority="364" operator="equal">
      <formula>0</formula>
    </cfRule>
  </conditionalFormatting>
  <conditionalFormatting sqref="C22 C24 C26:C38">
    <cfRule type="cellIs" dxfId="7" priority="5" stopIfTrue="1" operator="equal">
      <formula>0</formula>
    </cfRule>
  </conditionalFormatting>
  <conditionalFormatting sqref="C23">
    <cfRule type="cellIs" dxfId="6" priority="1" operator="equal">
      <formula>0</formula>
    </cfRule>
  </conditionalFormatting>
  <conditionalFormatting sqref="C39:C40">
    <cfRule type="cellIs" dxfId="5" priority="4" operator="equal">
      <formula>0</formula>
    </cfRule>
  </conditionalFormatting>
  <conditionalFormatting sqref="C50:C52">
    <cfRule type="cellIs" dxfId="4" priority="6" operator="equal">
      <formula>0</formula>
    </cfRule>
  </conditionalFormatting>
  <conditionalFormatting sqref="E1:E3 G1:G13 E5:E13 H12:I12 O13 E65:G65 H65:K67 E66:H66 E67:F67">
    <cfRule type="cellIs" dxfId="3" priority="944" stopIfTrue="1" operator="equal">
      <formula>0</formula>
    </cfRule>
  </conditionalFormatting>
  <conditionalFormatting sqref="E14:K64">
    <cfRule type="cellIs" dxfId="2" priority="2" stopIfTrue="1" operator="equal">
      <formula>0</formula>
    </cfRule>
  </conditionalFormatting>
  <conditionalFormatting sqref="G66:G65532 E71:E65532">
    <cfRule type="cellIs" dxfId="1" priority="78" stopIfTrue="1" operator="equal">
      <formula>0</formula>
    </cfRule>
  </conditionalFormatting>
  <conditionalFormatting sqref="S14:V18">
    <cfRule type="cellIs" dxfId="0" priority="125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54 F59:F64 F16:F48 H14:K67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53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43" zoomScale="115" zoomScaleNormal="115" zoomScaleSheetLayoutView="115" workbookViewId="0">
      <selection activeCell="AB55" sqref="A1:AD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8" t="s">
        <v>1439</v>
      </c>
      <c r="X2" s="699"/>
      <c r="Y2" s="699"/>
      <c r="Z2" s="699"/>
      <c r="AA2" s="699"/>
      <c r="AB2" s="699"/>
      <c r="AC2" s="699"/>
      <c r="AD2" s="700"/>
    </row>
    <row r="3" spans="3:30">
      <c r="C3" s="238"/>
      <c r="W3" s="701"/>
      <c r="X3" s="702"/>
      <c r="Y3" s="702"/>
      <c r="Z3" s="702"/>
      <c r="AA3" s="702"/>
      <c r="AB3" s="702"/>
      <c r="AC3" s="702"/>
      <c r="AD3" s="703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7" t="s">
        <v>990</v>
      </c>
      <c r="Y5" s="647"/>
      <c r="Z5" s="647"/>
      <c r="AA5" s="647" t="s">
        <v>988</v>
      </c>
      <c r="AB5" s="647"/>
      <c r="AC5" s="647" t="s">
        <v>989</v>
      </c>
      <c r="AD5" s="648"/>
    </row>
    <row r="6" spans="3:30">
      <c r="C6" s="238"/>
      <c r="W6" s="241">
        <v>1</v>
      </c>
      <c r="X6" s="647" t="s">
        <v>993</v>
      </c>
      <c r="Y6" s="647"/>
      <c r="Z6" s="647"/>
      <c r="AA6" s="647"/>
      <c r="AB6" s="647"/>
      <c r="AC6" s="647"/>
      <c r="AD6" s="648"/>
    </row>
    <row r="7" spans="3:30">
      <c r="C7" s="238"/>
      <c r="E7" s="500" t="s">
        <v>1614</v>
      </c>
      <c r="W7" s="241">
        <v>2</v>
      </c>
      <c r="X7" s="647" t="s">
        <v>994</v>
      </c>
      <c r="Y7" s="647"/>
      <c r="Z7" s="647"/>
      <c r="AA7" s="647"/>
      <c r="AB7" s="647"/>
      <c r="AC7" s="647"/>
      <c r="AD7" s="648"/>
    </row>
    <row r="8" spans="3:30">
      <c r="C8" s="238"/>
      <c r="W8" s="241">
        <v>3</v>
      </c>
      <c r="X8" s="647" t="s">
        <v>995</v>
      </c>
      <c r="Y8" s="647"/>
      <c r="Z8" s="647"/>
      <c r="AA8" s="647"/>
      <c r="AB8" s="647"/>
      <c r="AC8" s="647"/>
      <c r="AD8" s="648"/>
    </row>
    <row r="9" spans="3:30">
      <c r="C9" s="238"/>
      <c r="W9" s="241">
        <v>4</v>
      </c>
      <c r="X9" s="647" t="s">
        <v>996</v>
      </c>
      <c r="Y9" s="647"/>
      <c r="Z9" s="647"/>
      <c r="AA9" s="647"/>
      <c r="AB9" s="647"/>
      <c r="AC9" s="647"/>
      <c r="AD9" s="648"/>
    </row>
    <row r="10" spans="3:30">
      <c r="C10" s="238"/>
      <c r="W10" s="241">
        <v>5</v>
      </c>
      <c r="X10" s="647" t="s">
        <v>997</v>
      </c>
      <c r="Y10" s="647"/>
      <c r="Z10" s="647"/>
      <c r="AA10" s="647"/>
      <c r="AB10" s="647"/>
      <c r="AC10" s="647"/>
      <c r="AD10" s="648"/>
    </row>
    <row r="11" spans="3:30">
      <c r="C11" s="238"/>
      <c r="W11" s="241">
        <v>6</v>
      </c>
      <c r="X11" s="647" t="s">
        <v>998</v>
      </c>
      <c r="Y11" s="647"/>
      <c r="Z11" s="647"/>
      <c r="AA11" s="647"/>
      <c r="AB11" s="647"/>
      <c r="AC11" s="647"/>
      <c r="AD11" s="648"/>
    </row>
    <row r="12" spans="3:30">
      <c r="C12" s="238"/>
      <c r="W12" s="241">
        <v>7</v>
      </c>
      <c r="X12" s="647" t="s">
        <v>999</v>
      </c>
      <c r="Y12" s="647"/>
      <c r="Z12" s="647"/>
      <c r="AA12" s="647"/>
      <c r="AB12" s="647"/>
      <c r="AC12" s="647"/>
      <c r="AD12" s="648"/>
    </row>
    <row r="13" spans="3:30" ht="12.75" customHeight="1">
      <c r="C13" s="238"/>
      <c r="W13" s="241">
        <v>8</v>
      </c>
      <c r="X13" s="647" t="s">
        <v>1000</v>
      </c>
      <c r="Y13" s="647"/>
      <c r="Z13" s="647"/>
      <c r="AA13" s="647"/>
      <c r="AB13" s="647"/>
      <c r="AC13" s="647"/>
      <c r="AD13" s="648"/>
    </row>
    <row r="14" spans="3:30">
      <c r="C14" s="238"/>
      <c r="W14" s="241">
        <v>9</v>
      </c>
      <c r="X14" s="647" t="s">
        <v>1001</v>
      </c>
      <c r="Y14" s="647"/>
      <c r="Z14" s="647"/>
      <c r="AA14" s="647"/>
      <c r="AB14" s="647"/>
      <c r="AC14" s="647"/>
      <c r="AD14" s="648"/>
    </row>
    <row r="15" spans="3:30">
      <c r="C15" s="238"/>
      <c r="W15" s="241">
        <v>10</v>
      </c>
      <c r="X15" s="647" t="s">
        <v>1010</v>
      </c>
      <c r="Y15" s="647"/>
      <c r="Z15" s="647"/>
      <c r="AA15" s="647"/>
      <c r="AB15" s="647"/>
      <c r="AC15" s="647"/>
      <c r="AD15" s="648"/>
    </row>
    <row r="16" spans="3:30">
      <c r="C16" s="238"/>
      <c r="W16" s="241">
        <v>11</v>
      </c>
      <c r="X16" s="647" t="s">
        <v>1459</v>
      </c>
      <c r="Y16" s="647"/>
      <c r="Z16" s="647"/>
      <c r="AA16" s="647"/>
      <c r="AB16" s="647"/>
      <c r="AC16" s="647"/>
      <c r="AD16" s="648"/>
    </row>
    <row r="17" spans="3:30">
      <c r="C17" s="238"/>
      <c r="S17" s="242"/>
      <c r="W17" s="241">
        <v>12</v>
      </c>
      <c r="X17" s="647" t="s">
        <v>1011</v>
      </c>
      <c r="Y17" s="647"/>
      <c r="Z17" s="647"/>
      <c r="AA17" s="647"/>
      <c r="AB17" s="647"/>
      <c r="AC17" s="647"/>
      <c r="AD17" s="648"/>
    </row>
    <row r="18" spans="3:30">
      <c r="C18" s="243"/>
      <c r="D18" s="244"/>
      <c r="E18" s="244"/>
      <c r="W18" s="241">
        <v>13</v>
      </c>
      <c r="X18" s="647"/>
      <c r="Y18" s="647"/>
      <c r="Z18" s="647"/>
      <c r="AA18" s="647"/>
      <c r="AB18" s="647"/>
      <c r="AC18" s="647"/>
      <c r="AD18" s="648"/>
    </row>
    <row r="19" spans="3:30">
      <c r="C19" s="238"/>
      <c r="W19" s="245"/>
      <c r="X19" s="696"/>
      <c r="Y19" s="696"/>
      <c r="Z19" s="696"/>
      <c r="AA19" s="696"/>
      <c r="AB19" s="696"/>
      <c r="AC19" s="696"/>
      <c r="AD19" s="697"/>
    </row>
    <row r="20" spans="3:30">
      <c r="C20" s="238"/>
      <c r="W20" s="683" t="s">
        <v>992</v>
      </c>
      <c r="X20" s="684"/>
      <c r="Y20" s="684"/>
      <c r="Z20" s="684"/>
      <c r="AA20" s="684"/>
      <c r="AB20" s="684"/>
      <c r="AC20" s="684"/>
      <c r="AD20" s="685"/>
    </row>
    <row r="21" spans="3:30">
      <c r="C21" s="238"/>
      <c r="W21" s="686" t="s">
        <v>985</v>
      </c>
      <c r="X21" s="687"/>
      <c r="Y21" s="687"/>
      <c r="Z21" s="688"/>
      <c r="AA21" s="689" t="s">
        <v>986</v>
      </c>
      <c r="AB21" s="690"/>
      <c r="AC21" s="690"/>
      <c r="AD21" s="691"/>
    </row>
    <row r="22" spans="3:30">
      <c r="C22" s="238"/>
      <c r="W22" s="692"/>
      <c r="X22" s="693"/>
      <c r="Y22" s="504"/>
      <c r="Z22" s="505"/>
      <c r="AA22" s="694"/>
      <c r="AB22" s="695"/>
      <c r="AC22" s="248"/>
      <c r="AD22" s="249"/>
    </row>
    <row r="23" spans="3:30">
      <c r="C23" s="238"/>
      <c r="W23" s="692"/>
      <c r="X23" s="693"/>
      <c r="Y23" s="504"/>
      <c r="Z23" s="505"/>
      <c r="AA23" s="681"/>
      <c r="AB23" s="682"/>
      <c r="AC23" s="248"/>
      <c r="AD23" s="249"/>
    </row>
    <row r="24" spans="3:30">
      <c r="C24" s="238"/>
      <c r="W24" s="676"/>
      <c r="X24" s="678"/>
      <c r="Y24" s="246"/>
      <c r="Z24" s="247"/>
      <c r="AA24" s="679"/>
      <c r="AB24" s="680"/>
      <c r="AC24" s="248"/>
      <c r="AD24" s="249"/>
    </row>
    <row r="25" spans="3:30">
      <c r="C25" s="238"/>
      <c r="W25" s="676"/>
      <c r="X25" s="678"/>
      <c r="Y25" s="246"/>
      <c r="Z25" s="247"/>
      <c r="AA25" s="681"/>
      <c r="AB25" s="682"/>
      <c r="AC25" s="248"/>
      <c r="AD25" s="249"/>
    </row>
    <row r="26" spans="3:30">
      <c r="C26" s="238"/>
      <c r="W26" s="490"/>
      <c r="X26" s="491"/>
      <c r="Y26" s="246"/>
      <c r="Z26" s="247"/>
      <c r="AA26" s="681"/>
      <c r="AB26" s="682"/>
      <c r="AC26" s="248"/>
      <c r="AD26" s="249"/>
    </row>
    <row r="27" spans="3:30">
      <c r="C27" s="238"/>
      <c r="W27" s="490"/>
      <c r="X27" s="491"/>
      <c r="Y27" s="246"/>
      <c r="Z27" s="247"/>
      <c r="AA27" s="675"/>
      <c r="AB27" s="670"/>
      <c r="AC27" s="248"/>
      <c r="AD27" s="249"/>
    </row>
    <row r="28" spans="3:30">
      <c r="C28" s="238"/>
      <c r="W28" s="490"/>
      <c r="X28" s="491"/>
      <c r="Y28" s="246"/>
      <c r="Z28" s="247"/>
      <c r="AA28" s="675"/>
      <c r="AB28" s="670"/>
      <c r="AC28" s="248"/>
      <c r="AD28" s="249"/>
    </row>
    <row r="29" spans="3:30">
      <c r="C29" s="238"/>
      <c r="W29" s="490"/>
      <c r="X29" s="491"/>
      <c r="Y29" s="246"/>
      <c r="Z29" s="247"/>
      <c r="AA29" s="675"/>
      <c r="AB29" s="670"/>
      <c r="AC29" s="248"/>
      <c r="AD29" s="249"/>
    </row>
    <row r="30" spans="3:30" ht="11.25" customHeight="1">
      <c r="C30" s="238"/>
      <c r="W30" s="492"/>
      <c r="X30" s="493"/>
      <c r="Y30" s="246"/>
      <c r="Z30" s="247"/>
      <c r="AA30" s="675"/>
      <c r="AB30" s="670"/>
      <c r="AC30" s="248"/>
      <c r="AD30" s="249"/>
    </row>
    <row r="31" spans="3:30">
      <c r="C31" s="238"/>
      <c r="U31" s="250"/>
      <c r="W31" s="490"/>
      <c r="X31" s="491"/>
      <c r="Y31" s="246"/>
      <c r="Z31" s="247"/>
      <c r="AA31" s="675"/>
      <c r="AB31" s="670"/>
      <c r="AC31" s="248"/>
      <c r="AD31" s="249"/>
    </row>
    <row r="32" spans="3:30">
      <c r="C32" s="238"/>
      <c r="U32" s="250"/>
      <c r="W32" s="490"/>
      <c r="X32" s="491"/>
      <c r="Y32" s="246"/>
      <c r="Z32" s="247"/>
      <c r="AA32" s="675"/>
      <c r="AB32" s="670"/>
      <c r="AC32" s="248"/>
      <c r="AD32" s="249"/>
    </row>
    <row r="33" spans="3:30">
      <c r="C33" s="238"/>
      <c r="W33" s="490"/>
      <c r="X33" s="491"/>
      <c r="Y33" s="246"/>
      <c r="Z33" s="247"/>
      <c r="AA33" s="675"/>
      <c r="AB33" s="670"/>
      <c r="AC33" s="248"/>
      <c r="AD33" s="249"/>
    </row>
    <row r="34" spans="3:30">
      <c r="C34" s="238"/>
      <c r="W34" s="490"/>
      <c r="X34" s="491"/>
      <c r="Y34" s="246"/>
      <c r="Z34" s="247"/>
      <c r="AA34" s="675"/>
      <c r="AB34" s="670"/>
      <c r="AC34" s="248"/>
      <c r="AD34" s="249"/>
    </row>
    <row r="35" spans="3:30">
      <c r="C35" s="238"/>
      <c r="W35" s="676"/>
      <c r="X35" s="677"/>
      <c r="Y35" s="246"/>
      <c r="Z35" s="247"/>
      <c r="AA35" s="675"/>
      <c r="AB35" s="670"/>
      <c r="AC35" s="248"/>
      <c r="AD35" s="249"/>
    </row>
    <row r="36" spans="3:30">
      <c r="C36" s="238"/>
      <c r="W36" s="667"/>
      <c r="X36" s="668"/>
      <c r="Y36" s="246"/>
      <c r="Z36" s="251"/>
      <c r="AA36" s="669"/>
      <c r="AB36" s="670"/>
      <c r="AC36" s="248"/>
      <c r="AD36" s="249"/>
    </row>
    <row r="37" spans="3:30" ht="12.75" customHeight="1">
      <c r="C37" s="238"/>
      <c r="W37" s="671"/>
      <c r="X37" s="672"/>
      <c r="Y37" s="246"/>
      <c r="Z37" s="251"/>
      <c r="AA37" s="673"/>
      <c r="AB37" s="674"/>
      <c r="AC37" s="252"/>
      <c r="AD37" s="253"/>
    </row>
    <row r="38" spans="3:30" ht="12.75" customHeight="1">
      <c r="C38" s="238"/>
      <c r="W38" s="671"/>
      <c r="X38" s="672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1"/>
      <c r="X39" s="672"/>
      <c r="Y39" s="254"/>
      <c r="Z39" s="257"/>
      <c r="AA39" s="663"/>
      <c r="AB39" s="664"/>
      <c r="AC39" s="252"/>
      <c r="AD39" s="253"/>
    </row>
    <row r="40" spans="3:30" ht="12" customHeight="1">
      <c r="C40" s="238"/>
      <c r="W40" s="659"/>
      <c r="X40" s="660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1"/>
      <c r="X41" s="662"/>
      <c r="Y41" s="260"/>
      <c r="Z41" s="261"/>
      <c r="AA41" s="663"/>
      <c r="AB41" s="664"/>
      <c r="AC41" s="252"/>
      <c r="AD41" s="253"/>
    </row>
    <row r="42" spans="3:30" ht="12" customHeight="1">
      <c r="C42" s="238"/>
      <c r="W42" s="665" t="s">
        <v>1460</v>
      </c>
      <c r="X42" s="666"/>
      <c r="Y42" s="666"/>
      <c r="Z42" s="666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4" t="s">
        <v>11</v>
      </c>
      <c r="X44" s="645"/>
      <c r="Y44" s="647"/>
      <c r="Z44" s="647"/>
      <c r="AA44" s="647"/>
      <c r="AB44" s="647"/>
      <c r="AC44" s="647"/>
      <c r="AD44" s="648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4" t="s">
        <v>984</v>
      </c>
      <c r="X45" s="645"/>
      <c r="Y45" s="647">
        <v>1</v>
      </c>
      <c r="Z45" s="647"/>
      <c r="AA45" s="647"/>
      <c r="AB45" s="647" t="s">
        <v>12</v>
      </c>
      <c r="AC45" s="647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4" t="s">
        <v>15</v>
      </c>
      <c r="X46" s="645"/>
      <c r="Y46" s="658"/>
      <c r="Z46" s="658"/>
      <c r="AA46" s="658"/>
      <c r="AB46" s="647" t="s">
        <v>16</v>
      </c>
      <c r="AC46" s="647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2" t="s">
        <v>17</v>
      </c>
      <c r="X47" s="652"/>
      <c r="Y47" s="652"/>
      <c r="Z47" s="652"/>
      <c r="AA47" s="652"/>
      <c r="AB47" s="652"/>
      <c r="AC47" s="652"/>
      <c r="AD47" s="653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4" t="str">
        <f>RAB!G6</f>
        <v>PB XL-JAW-JT-PWD-4024 GENTING SEDO</v>
      </c>
      <c r="X48" s="654"/>
      <c r="Y48" s="654"/>
      <c r="Z48" s="654"/>
      <c r="AA48" s="654"/>
      <c r="AB48" s="654"/>
      <c r="AC48" s="654"/>
      <c r="AD48" s="655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4"/>
      <c r="X49" s="654"/>
      <c r="Y49" s="654"/>
      <c r="Z49" s="654"/>
      <c r="AA49" s="654"/>
      <c r="AB49" s="654"/>
      <c r="AC49" s="654"/>
      <c r="AD49" s="655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4"/>
      <c r="X50" s="654"/>
      <c r="Y50" s="654"/>
      <c r="Z50" s="654"/>
      <c r="AA50" s="654"/>
      <c r="AB50" s="654"/>
      <c r="AC50" s="654"/>
      <c r="AD50" s="655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6"/>
      <c r="X51" s="656"/>
      <c r="Y51" s="656"/>
      <c r="Z51" s="656"/>
      <c r="AA51" s="656"/>
      <c r="AB51" s="656"/>
      <c r="AC51" s="656"/>
      <c r="AD51" s="657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4" t="s">
        <v>18</v>
      </c>
      <c r="X52" s="645"/>
      <c r="Y52" s="647" t="s">
        <v>1628</v>
      </c>
      <c r="Z52" s="647"/>
      <c r="AA52" s="647"/>
      <c r="AB52" s="647"/>
      <c r="AC52" s="647"/>
      <c r="AD52" s="648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4" t="s">
        <v>19</v>
      </c>
      <c r="X53" s="645"/>
      <c r="Y53" s="647" t="s">
        <v>1628</v>
      </c>
      <c r="Z53" s="647"/>
      <c r="AA53" s="647"/>
      <c r="AB53" s="647"/>
      <c r="AC53" s="647"/>
      <c r="AD53" s="648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4" t="s">
        <v>20</v>
      </c>
      <c r="X54" s="645"/>
      <c r="Y54" s="646" t="s">
        <v>1629</v>
      </c>
      <c r="Z54" s="646"/>
      <c r="AA54" s="646"/>
      <c r="AB54" s="647"/>
      <c r="AC54" s="647"/>
      <c r="AD54" s="648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9" t="s">
        <v>21</v>
      </c>
      <c r="X55" s="650"/>
      <c r="Y55" s="646" t="s">
        <v>1553</v>
      </c>
      <c r="Z55" s="646"/>
      <c r="AA55" s="646"/>
      <c r="AB55" s="646"/>
      <c r="AC55" s="646"/>
      <c r="AD55" s="651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16" zoomScale="55" zoomScaleNormal="55" zoomScaleSheetLayoutView="55" workbookViewId="0">
      <selection activeCell="S38" sqref="S38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4" t="s">
        <v>1532</v>
      </c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705"/>
      <c r="X4" s="705"/>
      <c r="Y4" s="705"/>
      <c r="Z4" s="705"/>
      <c r="AA4" s="705"/>
      <c r="AB4" s="705"/>
      <c r="AC4" s="706"/>
      <c r="AD4" s="217"/>
      <c r="AE4" s="216"/>
      <c r="AF4" s="216"/>
    </row>
    <row r="5" spans="2:32" ht="13.5" customHeight="1">
      <c r="B5" s="215"/>
      <c r="C5" s="215"/>
      <c r="D5" s="707"/>
      <c r="E5" s="708"/>
      <c r="F5" s="708"/>
      <c r="G5" s="708"/>
      <c r="H5" s="708"/>
      <c r="I5" s="708"/>
      <c r="J5" s="708"/>
      <c r="K5" s="708"/>
      <c r="L5" s="708"/>
      <c r="M5" s="708"/>
      <c r="N5" s="708"/>
      <c r="O5" s="708"/>
      <c r="P5" s="708"/>
      <c r="Q5" s="708"/>
      <c r="R5" s="708"/>
      <c r="S5" s="708"/>
      <c r="T5" s="708"/>
      <c r="U5" s="708"/>
      <c r="V5" s="708"/>
      <c r="W5" s="708"/>
      <c r="X5" s="708"/>
      <c r="Y5" s="708"/>
      <c r="Z5" s="708"/>
      <c r="AA5" s="708"/>
      <c r="AB5" s="708"/>
      <c r="AC5" s="709"/>
      <c r="AD5" s="217"/>
      <c r="AE5" s="216"/>
      <c r="AF5" s="216"/>
    </row>
    <row r="6" spans="2:32" ht="12.75" customHeight="1">
      <c r="B6" s="215"/>
      <c r="C6" s="215"/>
      <c r="D6" s="707"/>
      <c r="E6" s="708"/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9"/>
      <c r="AE6" s="216"/>
      <c r="AF6" s="216"/>
    </row>
    <row r="7" spans="2:32" ht="12.75" customHeight="1" thickBot="1">
      <c r="B7" s="215"/>
      <c r="C7" s="215"/>
      <c r="D7" s="710"/>
      <c r="E7" s="711"/>
      <c r="F7" s="711"/>
      <c r="G7" s="711"/>
      <c r="H7" s="711"/>
      <c r="I7" s="711"/>
      <c r="J7" s="711"/>
      <c r="K7" s="711"/>
      <c r="L7" s="711"/>
      <c r="M7" s="711"/>
      <c r="N7" s="711"/>
      <c r="O7" s="711"/>
      <c r="P7" s="711"/>
      <c r="Q7" s="711"/>
      <c r="R7" s="711"/>
      <c r="S7" s="711"/>
      <c r="T7" s="711"/>
      <c r="U7" s="711"/>
      <c r="V7" s="711"/>
      <c r="W7" s="711"/>
      <c r="X7" s="711"/>
      <c r="Y7" s="711"/>
      <c r="Z7" s="711"/>
      <c r="AA7" s="711"/>
      <c r="AB7" s="711"/>
      <c r="AC7" s="712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10" zoomScale="55" zoomScaleNormal="40" zoomScaleSheetLayoutView="55" workbookViewId="0">
      <selection activeCell="N23" sqref="N23:N27"/>
    </sheetView>
  </sheetViews>
  <sheetFormatPr defaultRowHeight="12.75"/>
  <cols>
    <col min="1" max="1" width="1.7109375" style="434" customWidth="1"/>
    <col min="2" max="2" width="10.7109375" style="434" customWidth="1"/>
    <col min="3" max="3" width="2.5703125" style="434" customWidth="1"/>
    <col min="4" max="20" width="9.140625" style="434"/>
    <col min="21" max="21" width="14.5703125" style="434" customWidth="1"/>
    <col min="22" max="22" width="3.140625" style="434" customWidth="1"/>
    <col min="23" max="26" width="9.140625" style="434"/>
    <col min="27" max="27" width="2.85546875" style="434" customWidth="1"/>
    <col min="28" max="30" width="4.7109375" style="434" customWidth="1"/>
    <col min="31" max="31" width="1.7109375" style="434" customWidth="1"/>
    <col min="32" max="16384" width="9.140625" style="43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8" t="s">
        <v>1531</v>
      </c>
      <c r="D3" s="708"/>
      <c r="E3" s="708"/>
      <c r="F3" s="708"/>
      <c r="G3" s="708"/>
      <c r="H3" s="708"/>
      <c r="I3" s="708"/>
      <c r="J3" s="708"/>
      <c r="K3" s="708"/>
      <c r="L3" s="708"/>
      <c r="M3" s="708"/>
      <c r="N3" s="708"/>
      <c r="O3" s="708"/>
      <c r="P3" s="708"/>
      <c r="Q3" s="708"/>
      <c r="R3" s="708"/>
      <c r="S3" s="708"/>
      <c r="T3" s="708"/>
      <c r="U3" s="708"/>
      <c r="V3" s="708"/>
      <c r="W3" s="182"/>
      <c r="X3" s="445"/>
      <c r="Y3" s="445"/>
      <c r="Z3" s="445"/>
      <c r="AA3" s="445"/>
      <c r="AB3" s="445"/>
      <c r="AC3" s="435"/>
    </row>
    <row r="4" spans="1:29" ht="18.75" customHeight="1">
      <c r="A4" s="181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182"/>
      <c r="X4" s="445"/>
      <c r="Y4" s="445"/>
      <c r="Z4" s="445"/>
      <c r="AA4" s="445"/>
      <c r="AB4" s="445"/>
      <c r="AC4" s="435"/>
    </row>
    <row r="5" spans="1:29" ht="12.75" customHeight="1">
      <c r="A5" s="181"/>
      <c r="C5" s="436"/>
      <c r="W5" s="182"/>
    </row>
    <row r="6" spans="1:29" ht="12.75" customHeight="1">
      <c r="A6" s="181"/>
      <c r="C6" s="713" t="s">
        <v>1613</v>
      </c>
      <c r="D6" s="713"/>
      <c r="E6" s="713"/>
      <c r="F6" s="713"/>
      <c r="G6" s="713"/>
      <c r="H6" s="713"/>
      <c r="I6" s="713"/>
      <c r="J6" s="713"/>
      <c r="K6" s="713"/>
      <c r="L6" s="713"/>
      <c r="M6" s="713"/>
      <c r="W6" s="182"/>
      <c r="Y6" s="437"/>
      <c r="Z6" s="437"/>
      <c r="AA6" s="437"/>
      <c r="AB6" s="438"/>
      <c r="AC6" s="438"/>
    </row>
    <row r="7" spans="1:29" ht="18" customHeight="1">
      <c r="A7" s="181"/>
      <c r="C7" s="713"/>
      <c r="D7" s="713"/>
      <c r="E7" s="713"/>
      <c r="F7" s="713"/>
      <c r="G7" s="713"/>
      <c r="H7" s="713"/>
      <c r="I7" s="713"/>
      <c r="J7" s="713"/>
      <c r="K7" s="713"/>
      <c r="L7" s="713"/>
      <c r="M7" s="713"/>
      <c r="W7" s="182"/>
      <c r="Y7" s="437"/>
      <c r="Z7" s="437"/>
      <c r="AA7" s="437"/>
      <c r="AB7" s="438"/>
      <c r="AC7" s="43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40"/>
      <c r="S54" s="440"/>
      <c r="T54" s="440"/>
      <c r="U54" s="441"/>
      <c r="V54" s="441"/>
      <c r="W54" s="183"/>
      <c r="X54" s="441"/>
      <c r="Y54" s="441"/>
      <c r="Z54" s="441"/>
      <c r="AA54" s="441"/>
      <c r="AB54" s="441"/>
      <c r="AC54" s="441"/>
      <c r="AD54" s="44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6"/>
      <c r="S55" s="447"/>
      <c r="T55" s="447"/>
      <c r="U55" s="186"/>
      <c r="V55" s="187"/>
      <c r="W55" s="188"/>
      <c r="X55" s="441"/>
      <c r="Y55" s="441"/>
      <c r="Z55" s="441"/>
      <c r="AA55" s="442"/>
      <c r="AB55" s="442"/>
      <c r="AC55" s="442"/>
      <c r="AD55" s="442"/>
    </row>
    <row r="56" spans="1:30">
      <c r="U56" s="441"/>
      <c r="V56" s="442"/>
      <c r="W56" s="441"/>
      <c r="X56" s="441"/>
      <c r="Y56" s="441"/>
      <c r="Z56" s="441"/>
      <c r="AA56" s="442"/>
      <c r="AB56" s="441"/>
      <c r="AC56" s="441"/>
      <c r="AD56" s="441"/>
    </row>
    <row r="57" spans="1:30">
      <c r="U57" s="441"/>
      <c r="V57" s="442"/>
      <c r="W57" s="441"/>
      <c r="X57" s="441"/>
      <c r="Y57" s="441"/>
      <c r="Z57" s="441"/>
      <c r="AA57" s="441"/>
      <c r="AB57" s="441"/>
      <c r="AC57" s="441"/>
      <c r="AD57" s="441"/>
    </row>
    <row r="58" spans="1:30">
      <c r="U58" s="441"/>
      <c r="V58" s="442"/>
      <c r="W58" s="441"/>
      <c r="X58" s="441"/>
      <c r="Y58" s="441"/>
      <c r="Z58" s="441"/>
      <c r="AA58" s="441"/>
      <c r="AB58" s="441"/>
      <c r="AC58" s="441"/>
      <c r="AD58" s="441"/>
    </row>
    <row r="59" spans="1:30">
      <c r="U59" s="441"/>
      <c r="V59" s="442"/>
      <c r="W59" s="441"/>
      <c r="X59" s="441"/>
      <c r="Y59" s="441"/>
      <c r="Z59" s="441"/>
      <c r="AA59" s="441"/>
      <c r="AB59" s="441"/>
      <c r="AC59" s="441"/>
      <c r="AD59" s="441"/>
    </row>
    <row r="60" spans="1:30">
      <c r="U60" s="441"/>
      <c r="V60" s="442"/>
      <c r="W60" s="441"/>
      <c r="X60" s="441"/>
      <c r="Y60" s="441"/>
      <c r="Z60" s="441"/>
      <c r="AA60" s="442"/>
      <c r="AB60" s="441"/>
      <c r="AC60" s="441"/>
      <c r="AD60" s="441"/>
    </row>
    <row r="61" spans="1:30">
      <c r="U61" s="441"/>
      <c r="V61" s="442"/>
      <c r="W61" s="441"/>
      <c r="X61" s="441"/>
      <c r="Y61" s="441"/>
      <c r="Z61" s="441"/>
      <c r="AA61" s="441"/>
      <c r="AB61" s="441"/>
      <c r="AC61" s="441"/>
      <c r="AD61" s="441"/>
    </row>
    <row r="62" spans="1:30">
      <c r="U62" s="441"/>
      <c r="V62" s="442"/>
      <c r="W62" s="441"/>
      <c r="X62" s="441"/>
      <c r="Y62" s="441"/>
      <c r="Z62" s="441"/>
      <c r="AA62" s="441"/>
      <c r="AB62" s="441"/>
      <c r="AC62" s="441"/>
      <c r="AD62" s="441"/>
    </row>
    <row r="63" spans="1:30">
      <c r="U63" s="441"/>
      <c r="V63" s="442"/>
      <c r="W63" s="441"/>
      <c r="X63" s="441"/>
      <c r="Y63" s="441"/>
      <c r="Z63" s="441"/>
      <c r="AA63" s="441"/>
      <c r="AB63" s="441"/>
      <c r="AC63" s="441"/>
      <c r="AD63" s="441"/>
    </row>
    <row r="64" spans="1:30">
      <c r="U64" s="441"/>
      <c r="V64" s="442"/>
      <c r="W64" s="441"/>
      <c r="X64" s="441"/>
      <c r="Y64" s="441"/>
      <c r="Z64" s="441"/>
      <c r="AA64" s="441"/>
      <c r="AB64" s="441"/>
      <c r="AC64" s="441"/>
      <c r="AD64" s="441"/>
    </row>
    <row r="65" spans="5:30">
      <c r="U65" s="441"/>
      <c r="V65" s="442"/>
      <c r="W65" s="441"/>
      <c r="X65" s="441"/>
      <c r="Y65" s="441"/>
      <c r="Z65" s="441"/>
      <c r="AA65" s="441"/>
      <c r="AB65" s="441"/>
      <c r="AC65" s="441"/>
      <c r="AD65" s="441"/>
    </row>
    <row r="66" spans="5:30" ht="6" customHeight="1"/>
    <row r="73" spans="5:30">
      <c r="M73" s="443"/>
    </row>
    <row r="74" spans="5:30" ht="15" customHeight="1">
      <c r="E74" s="444"/>
      <c r="M74" s="443"/>
    </row>
    <row r="75" spans="5:30" ht="15" customHeight="1">
      <c r="E75" s="444"/>
      <c r="M75" s="443"/>
    </row>
    <row r="76" spans="5:30" ht="15" customHeight="1">
      <c r="E76" s="444"/>
      <c r="M76" s="443"/>
    </row>
    <row r="77" spans="5:30" ht="15" customHeight="1">
      <c r="E77" s="444"/>
      <c r="M77" s="443"/>
    </row>
    <row r="78" spans="5:30" ht="15" customHeight="1">
      <c r="E78" s="444"/>
      <c r="M78" s="443"/>
    </row>
    <row r="79" spans="5:30" ht="15" customHeight="1">
      <c r="E79" s="444"/>
      <c r="M79" s="443"/>
    </row>
    <row r="80" spans="5:30" ht="15" customHeight="1">
      <c r="E80" s="444"/>
      <c r="M80" s="443"/>
    </row>
    <row r="81" spans="5:13" ht="15" customHeight="1">
      <c r="E81" s="444"/>
      <c r="M81" s="443"/>
    </row>
    <row r="82" spans="5:13" ht="15" customHeight="1">
      <c r="E82" s="444"/>
      <c r="M82" s="443"/>
    </row>
    <row r="83" spans="5:13" ht="15" customHeight="1">
      <c r="E83" s="444"/>
      <c r="M83" s="443"/>
    </row>
    <row r="84" spans="5:13" ht="15" customHeight="1">
      <c r="E84" s="444"/>
      <c r="M84" s="443"/>
    </row>
    <row r="85" spans="5:13" ht="15" customHeight="1">
      <c r="E85" s="444"/>
      <c r="M85" s="443"/>
    </row>
    <row r="86" spans="5:13" ht="15" customHeight="1">
      <c r="E86" s="444"/>
      <c r="M86" s="443"/>
    </row>
    <row r="87" spans="5:13" ht="15" customHeight="1">
      <c r="E87" s="444"/>
      <c r="M87" s="443"/>
    </row>
    <row r="88" spans="5:13" ht="15" customHeight="1">
      <c r="E88" s="444"/>
      <c r="M88" s="443"/>
    </row>
    <row r="89" spans="5:13" ht="15" customHeight="1">
      <c r="E89" s="444"/>
      <c r="M89" s="443"/>
    </row>
    <row r="90" spans="5:13" ht="15" customHeight="1">
      <c r="E90" s="444"/>
      <c r="M90" s="443"/>
    </row>
    <row r="91" spans="5:13" ht="15" customHeight="1">
      <c r="E91" s="444"/>
      <c r="M91" s="443"/>
    </row>
    <row r="92" spans="5:13" ht="15" customHeight="1">
      <c r="E92" s="444"/>
      <c r="M92" s="443"/>
    </row>
    <row r="93" spans="5:13" ht="15" customHeight="1">
      <c r="E93" s="444"/>
      <c r="M93" s="443"/>
    </row>
    <row r="94" spans="5:13" ht="15" customHeight="1">
      <c r="E94" s="444"/>
      <c r="M94" s="443"/>
    </row>
    <row r="95" spans="5:13" ht="15" customHeight="1">
      <c r="E95" s="444"/>
      <c r="M95" s="443"/>
    </row>
    <row r="96" spans="5:13" ht="15" customHeight="1">
      <c r="E96" s="444"/>
    </row>
    <row r="97" spans="5:5" ht="15" customHeight="1">
      <c r="E97" s="444"/>
    </row>
    <row r="98" spans="5:5" ht="15" customHeight="1">
      <c r="E98" s="444"/>
    </row>
    <row r="99" spans="5:5" ht="15" customHeight="1">
      <c r="E99" s="444"/>
    </row>
    <row r="100" spans="5:5" ht="15" customHeight="1">
      <c r="E100" s="444"/>
    </row>
    <row r="101" spans="5:5" ht="15" customHeight="1">
      <c r="E101" s="444"/>
    </row>
    <row r="102" spans="5:5" ht="15" customHeight="1">
      <c r="E102" s="444"/>
    </row>
    <row r="103" spans="5:5" ht="15" customHeight="1">
      <c r="E103" s="444"/>
    </row>
    <row r="104" spans="5:5" ht="15" customHeight="1">
      <c r="E104" s="444"/>
    </row>
    <row r="105" spans="5:5" ht="15" customHeight="1">
      <c r="E105" s="444"/>
    </row>
    <row r="106" spans="5:5" ht="15" customHeight="1">
      <c r="E106" s="444"/>
    </row>
    <row r="107" spans="5:5" ht="15" customHeight="1">
      <c r="E107" s="444"/>
    </row>
    <row r="108" spans="5:5" ht="15" customHeight="1">
      <c r="E108" s="444"/>
    </row>
    <row r="109" spans="5:5" ht="15" customHeight="1">
      <c r="E109" s="444"/>
    </row>
    <row r="110" spans="5:5" ht="15" customHeight="1">
      <c r="E110" s="444"/>
    </row>
    <row r="111" spans="5:5" ht="15" customHeight="1">
      <c r="E111" s="444"/>
    </row>
    <row r="112" spans="5:5" ht="15" customHeight="1">
      <c r="E112" s="444"/>
    </row>
    <row r="113" spans="5:5" ht="15" customHeight="1">
      <c r="E113" s="444"/>
    </row>
    <row r="114" spans="5:5" ht="15" customHeight="1">
      <c r="E114" s="444"/>
    </row>
    <row r="115" spans="5:5" ht="15" customHeight="1">
      <c r="E115" s="444"/>
    </row>
    <row r="116" spans="5:5" ht="15" customHeight="1">
      <c r="E116" s="444"/>
    </row>
    <row r="117" spans="5:5" ht="15" customHeight="1">
      <c r="E117" s="444"/>
    </row>
    <row r="118" spans="5:5" ht="15" customHeight="1">
      <c r="E118" s="444"/>
    </row>
    <row r="119" spans="5:5" ht="15" customHeight="1">
      <c r="E119" s="444"/>
    </row>
    <row r="120" spans="5:5">
      <c r="E120" s="44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6">
        <v>1</v>
      </c>
    </row>
    <row r="2" spans="1:11" ht="48" customHeight="1">
      <c r="A2" s="466">
        <v>3</v>
      </c>
    </row>
    <row r="4" spans="1:11" ht="48" customHeight="1">
      <c r="C4" s="466">
        <v>1</v>
      </c>
    </row>
    <row r="5" spans="1:11" ht="48" customHeight="1">
      <c r="C5" s="466">
        <v>3</v>
      </c>
    </row>
    <row r="7" spans="1:11" ht="48" customHeight="1">
      <c r="E7" s="466">
        <v>1</v>
      </c>
    </row>
    <row r="8" spans="1:11" ht="48" customHeight="1">
      <c r="E8" s="466">
        <v>3</v>
      </c>
    </row>
    <row r="10" spans="1:11" ht="48" customHeight="1">
      <c r="G10" s="466">
        <v>3</v>
      </c>
    </row>
    <row r="11" spans="1:11" ht="48" customHeight="1">
      <c r="G11" s="466">
        <v>1</v>
      </c>
    </row>
    <row r="13" spans="1:11" ht="48" customHeight="1">
      <c r="I13" s="466">
        <v>3</v>
      </c>
    </row>
    <row r="14" spans="1:11" ht="48" customHeight="1">
      <c r="I14" s="466">
        <v>1</v>
      </c>
    </row>
    <row r="16" spans="1:11" ht="48" customHeight="1">
      <c r="K16" s="466">
        <v>3</v>
      </c>
    </row>
    <row r="17" spans="11:21" ht="48" customHeight="1">
      <c r="K17" s="466">
        <v>1</v>
      </c>
    </row>
    <row r="19" spans="11:21" ht="48" customHeight="1">
      <c r="M19" s="466">
        <v>3</v>
      </c>
    </row>
    <row r="20" spans="11:21" ht="48" customHeight="1">
      <c r="M20" s="466">
        <v>1</v>
      </c>
    </row>
    <row r="22" spans="11:21" ht="48" customHeight="1">
      <c r="O22" s="466">
        <v>3</v>
      </c>
    </row>
    <row r="23" spans="11:21" ht="48" customHeight="1">
      <c r="O23" s="466">
        <v>1</v>
      </c>
    </row>
    <row r="25" spans="11:21" ht="57" customHeight="1">
      <c r="Q25" s="466">
        <v>3</v>
      </c>
    </row>
    <row r="26" spans="11:21" ht="57" customHeight="1">
      <c r="Q26" s="466">
        <v>1</v>
      </c>
    </row>
    <row r="28" spans="11:21" ht="57" customHeight="1">
      <c r="S28" s="466">
        <v>3</v>
      </c>
    </row>
    <row r="29" spans="11:21" ht="57" customHeight="1">
      <c r="S29" s="466">
        <v>1</v>
      </c>
    </row>
    <row r="31" spans="11:21" ht="57" customHeight="1">
      <c r="U31" s="466">
        <v>3</v>
      </c>
    </row>
    <row r="32" spans="11:21" ht="57" customHeight="1">
      <c r="U32" s="46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PLN</cp:lastModifiedBy>
  <cp:lastPrinted>2023-10-17T06:55:23Z</cp:lastPrinted>
  <dcterms:created xsi:type="dcterms:W3CDTF">2011-02-06T11:57:38Z</dcterms:created>
  <dcterms:modified xsi:type="dcterms:W3CDTF">2023-10-17T06:55:38Z</dcterms:modified>
</cp:coreProperties>
</file>