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6A651ACD-0A1E-4EC1-9498-8C6148253502}" xr6:coauthVersionLast="47" xr6:coauthVersionMax="47" xr10:uidLastSave="{00000000-0000-0000-0000-000000000000}"/>
  <bookViews>
    <workbookView xWindow="-120" yWindow="-120" windowWidth="20730" windowHeight="11160" tabRatio="859" activeTab="6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</externalReferences>
  <definedNames>
    <definedName name="\A" localSheetId="6">#REF!</definedName>
    <definedName name="\a" localSheetId="11">#REF!</definedName>
    <definedName name="\a" localSheetId="9">#REF!</definedName>
    <definedName name="\A" localSheetId="7">#REF!</definedName>
    <definedName name="\A" localSheetId="5">#REF!</definedName>
    <definedName name="\A" localSheetId="12">#REF!</definedName>
    <definedName name="\A">#REF!</definedName>
    <definedName name="\B" localSheetId="6">#REF!</definedName>
    <definedName name="\b" localSheetId="11">#REF!</definedName>
    <definedName name="\b" localSheetId="9">#REF!</definedName>
    <definedName name="\B" localSheetId="7">#REF!</definedName>
    <definedName name="\B" localSheetId="12">#REF!</definedName>
    <definedName name="\B">#REF!</definedName>
    <definedName name="\bbsuralaya" localSheetId="11">[1]Uraian!$R$586</definedName>
    <definedName name="\bbsuralaya" localSheetId="9">[1]Uraian!$R$586</definedName>
    <definedName name="\bbsuralaya">[2]Uraian!$R$586</definedName>
    <definedName name="\C" localSheetId="6">#REF!</definedName>
    <definedName name="\c" localSheetId="11">#REF!</definedName>
    <definedName name="\c" localSheetId="9">#REF!</definedName>
    <definedName name="\C" localSheetId="7">#REF!</definedName>
    <definedName name="\C" localSheetId="12">#REF!</definedName>
    <definedName name="\C">#REF!</definedName>
    <definedName name="\D" localSheetId="6">#REF!</definedName>
    <definedName name="\d" localSheetId="11">#REF!</definedName>
    <definedName name="\d" localSheetId="9">#REF!</definedName>
    <definedName name="\D" localSheetId="7">#REF!</definedName>
    <definedName name="\D" localSheetId="12">#REF!</definedName>
    <definedName name="\D">#REF!</definedName>
    <definedName name="\E" localSheetId="6">#REF!</definedName>
    <definedName name="\e" localSheetId="11">#REF!</definedName>
    <definedName name="\e" localSheetId="9">#REF!</definedName>
    <definedName name="\E" localSheetId="7">#REF!</definedName>
    <definedName name="\E" localSheetId="12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>#REF!</definedName>
    <definedName name="\H" localSheetId="6">#REF!</definedName>
    <definedName name="\H" localSheetId="11">[3]M!$D$126</definedName>
    <definedName name="\H" localSheetId="9">[3]M!$D$126</definedName>
    <definedName name="\H" localSheetId="7">#REF!</definedName>
    <definedName name="\H" localSheetId="12">#REF!</definedName>
    <definedName name="\H">#REF!</definedName>
    <definedName name="\I" localSheetId="6">#REF!</definedName>
    <definedName name="\I" localSheetId="11">[3]M!$D$131</definedName>
    <definedName name="\I" localSheetId="9">[3]M!$D$131</definedName>
    <definedName name="\I" localSheetId="7">#REF!</definedName>
    <definedName name="\I" localSheetId="12">#REF!</definedName>
    <definedName name="\I">#REF!</definedName>
    <definedName name="\J" localSheetId="6">#REF!</definedName>
    <definedName name="\J" localSheetId="11">[3]M!$D$136</definedName>
    <definedName name="\J" localSheetId="9">[3]M!$D$136</definedName>
    <definedName name="\J" localSheetId="7">#REF!</definedName>
    <definedName name="\J" localSheetId="12">#REF!</definedName>
    <definedName name="\J">#REF!</definedName>
    <definedName name="\K" localSheetId="6">#REF!</definedName>
    <definedName name="\K" localSheetId="11">[3]M!$D$141</definedName>
    <definedName name="\K" localSheetId="9">[3]M!$D$141</definedName>
    <definedName name="\K" localSheetId="7">#REF!</definedName>
    <definedName name="\K" localSheetId="12">#REF!</definedName>
    <definedName name="\K">#REF!</definedName>
    <definedName name="\L" localSheetId="6">#REF!</definedName>
    <definedName name="\L" localSheetId="11">[3]M!$D$146</definedName>
    <definedName name="\L" localSheetId="9">[3]M!$D$146</definedName>
    <definedName name="\L" localSheetId="7">#REF!</definedName>
    <definedName name="\L" localSheetId="12">#REF!</definedName>
    <definedName name="\L">#REF!</definedName>
    <definedName name="\LX1" localSheetId="6">#REF!</definedName>
    <definedName name="\LX1" localSheetId="11">#REF!</definedName>
    <definedName name="\LX1" localSheetId="9">#REF!</definedName>
    <definedName name="\LX1" localSheetId="7">#REF!</definedName>
    <definedName name="\LX1" localSheetId="12">#REF!</definedName>
    <definedName name="\LX1">#REF!</definedName>
    <definedName name="\M" localSheetId="6">#REF!</definedName>
    <definedName name="\M" localSheetId="11">[3]M!$D$166</definedName>
    <definedName name="\M" localSheetId="9">[3]M!$D$166</definedName>
    <definedName name="\M" localSheetId="7">#REF!</definedName>
    <definedName name="\M" localSheetId="12">#REF!</definedName>
    <definedName name="\M">#REF!</definedName>
    <definedName name="\o" localSheetId="11">#REF!</definedName>
    <definedName name="\o" localSheetId="9">#REF!</definedName>
    <definedName name="\o">#REF!</definedName>
    <definedName name="\P" localSheetId="6">#REF!</definedName>
    <definedName name="\P" localSheetId="11">[3]M!$A$228</definedName>
    <definedName name="\P" localSheetId="9">[3]M!$A$228</definedName>
    <definedName name="\P" localSheetId="7">#REF!</definedName>
    <definedName name="\P" localSheetId="12">#REF!</definedName>
    <definedName name="\P">#REF!</definedName>
    <definedName name="\Q" localSheetId="6">#REF!</definedName>
    <definedName name="\Q" localSheetId="11">[3]M!$B$51</definedName>
    <definedName name="\Q" localSheetId="9">[3]M!$B$51</definedName>
    <definedName name="\Q" localSheetId="7">#REF!</definedName>
    <definedName name="\Q" localSheetId="12">#REF!</definedName>
    <definedName name="\Q">#REF!</definedName>
    <definedName name="\R" localSheetId="6">#REF!</definedName>
    <definedName name="\R" localSheetId="11">[3]M!$B$40</definedName>
    <definedName name="\R" localSheetId="9">[3]M!$B$40</definedName>
    <definedName name="\R" localSheetId="7">#REF!</definedName>
    <definedName name="\R" localSheetId="12">#REF!</definedName>
    <definedName name="\R">#REF!</definedName>
    <definedName name="\S" localSheetId="6">#REF!</definedName>
    <definedName name="\S" localSheetId="11">[3]M!$D$161</definedName>
    <definedName name="\S" localSheetId="9">[3]M!$D$161</definedName>
    <definedName name="\S" localSheetId="7">#REF!</definedName>
    <definedName name="\S" localSheetId="12">#REF!</definedName>
    <definedName name="\S">#REF!</definedName>
    <definedName name="\T" localSheetId="6">#REF!</definedName>
    <definedName name="\T" localSheetId="11">[3]M!$D$156</definedName>
    <definedName name="\T" localSheetId="9">[3]M!$D$156</definedName>
    <definedName name="\T" localSheetId="7">#REF!</definedName>
    <definedName name="\T" localSheetId="12">#REF!</definedName>
    <definedName name="\T">#REF!</definedName>
    <definedName name="\V" localSheetId="11">#REF!</definedName>
    <definedName name="\V" localSheetId="9">#REF!</definedName>
    <definedName name="\V">#REF!</definedName>
    <definedName name="\W" localSheetId="6">#REF!</definedName>
    <definedName name="\W" localSheetId="11">[3]M!$C$169</definedName>
    <definedName name="\W" localSheetId="9">[3]M!$C$169</definedName>
    <definedName name="\W" localSheetId="7">#REF!</definedName>
    <definedName name="\W" localSheetId="12">#REF!</definedName>
    <definedName name="\W">#REF!</definedName>
    <definedName name="\Z" localSheetId="6">#REF!</definedName>
    <definedName name="\Z" localSheetId="11">[3]M!$D$151</definedName>
    <definedName name="\Z" localSheetId="9">[3]M!$D$151</definedName>
    <definedName name="\Z" localSheetId="7">#REF!</definedName>
    <definedName name="\Z" localSheetId="12">#REF!</definedName>
    <definedName name="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[3]C!$D$322:$K$322</definedName>
    <definedName name="__123Graph_A1" localSheetId="9" hidden="1">[3]C!$D$322:$K$322</definedName>
    <definedName name="__123Graph_A1" hidden="1">[14]C!$D$322:$K$322</definedName>
    <definedName name="__123Graph_A2" localSheetId="11" hidden="1">[3]C!$D$372:$K$372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[3]C!$D$323:$K$323</definedName>
    <definedName name="__123Graph_B1" localSheetId="9" hidden="1">[3]C!$D$323:$K$323</definedName>
    <definedName name="__123Graph_B1" hidden="1">[14]C!$D$323:$K$323</definedName>
    <definedName name="__123Graph_B2" localSheetId="11" hidden="1">[3]C!$D$373:$K$373</definedName>
    <definedName name="__123Graph_B2" localSheetId="9" hidden="1">[3]C!$D$373:$K$373</definedName>
    <definedName name="__123Graph_B2" hidden="1">[14]C!$D$373:$K$373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[30]JAN07!#REF!</definedName>
    <definedName name="A" localSheetId="11">'[31]W-NAD'!#REF!</definedName>
    <definedName name="A" localSheetId="9">'[31]W-NAD'!#REF!</definedName>
    <definedName name="a" localSheetId="7">[30]JAN07!#REF!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[33]x!$B$100:$B$101</definedName>
    <definedName name="ABCD" localSheetId="9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[34]MEMO!$A:$B</definedName>
    <definedName name="ABJAD" localSheetId="13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[35]JAN09!#REF!</definedName>
    <definedName name="ad" localSheetId="11" hidden="1">{#N/A,#N/A,FALSE,"M.33"}</definedName>
    <definedName name="ad" localSheetId="9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>[35]JAN09!#REF!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>[35]JAN09!#REF!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[39]L20Keu!$O$6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'[31]W-NAD'!#REF!</definedName>
    <definedName name="B" localSheetId="9">'[31]W-NAD'!#REF!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11">'[43]FORM-B'!#REF!</definedName>
    <definedName name="BAR" localSheetId="9">'[43]FORM-B'!#REF!</definedName>
    <definedName name="BAR" localSheetId="7">'[42]FORM-B'!#REF!</definedName>
    <definedName name="BAR" localSheetId="12">'[42]FORM-B'!#REF!</definedName>
    <definedName name="BAR">'[42]FORM-B'!#REF!</definedName>
    <definedName name="BAR_19" localSheetId="6">'[42]FORM-B'!#REF!</definedName>
    <definedName name="BAR_19" localSheetId="11">'[43]FORM-B'!#REF!</definedName>
    <definedName name="BAR_19" localSheetId="9">'[43]FORM-B'!#REF!</definedName>
    <definedName name="BAR_19" localSheetId="7">'[42]FORM-B'!#REF!</definedName>
    <definedName name="BAR_19" localSheetId="12">'[42]FORM-B'!#REF!</definedName>
    <definedName name="BAR_19">'[42]FORM-B'!#REF!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'[42]FORM-B'!#REF!</definedName>
    <definedName name="Baru_19" localSheetId="11">'[43]FORM-B'!#REF!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1">[44]Kamus!$D$2:$D$8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'[46]BBaku(12C3)'!$B$1:$S$46</definedName>
    <definedName name="BBakuTRWI" localSheetId="9">'[46]BBaku(12C3)'!$B$1:$S$46</definedName>
    <definedName name="BBakuTRWI">'[47]BBaku(12C3)'!$B$1:$S$46</definedName>
    <definedName name="BBakuTRWII" localSheetId="11">'[46]BBaku(12C3)'!$B$47:$S$93</definedName>
    <definedName name="BBakuTRWII" localSheetId="9">'[46]BBaku(12C3)'!$B$47:$S$93</definedName>
    <definedName name="BBakuTRWII">'[47]BBaku(12C3)'!$B$47:$S$93</definedName>
    <definedName name="BBakuTRWIII" localSheetId="11">'[46]BBaku(12C3)'!$B$94:$S$140</definedName>
    <definedName name="BBakuTRWIII" localSheetId="9">'[46]BBaku(12C3)'!$B$94:$S$140</definedName>
    <definedName name="BBakuTRWIII">'[47]BBaku(12C3)'!$B$94:$S$140</definedName>
    <definedName name="BBakuTRWIV" localSheetId="11">'[46]BBaku(12C3)'!$B$141:$S$187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'[46]BBMJenis(12B1)'!$B$1:$K$38</definedName>
    <definedName name="BBMJenisTRWI" localSheetId="9">'[46]BBMJenis(12B1)'!$B$1:$K$38</definedName>
    <definedName name="BBMJenisTRWI">'[48]BBMJenis(12B1)'!$B$1:$K$38</definedName>
    <definedName name="BBMJenisTRWII" localSheetId="11">'[46]BBMJenis(12B1)'!$B$40:$K$77</definedName>
    <definedName name="BBMJenisTRWII" localSheetId="9">'[46]BBMJenis(12B1)'!$B$40:$K$77</definedName>
    <definedName name="BBMJenisTRWII">'[48]BBMJenis(12B1)'!$B$40:$K$77</definedName>
    <definedName name="BBMJenisTRWIII" localSheetId="11">'[46]BBMJenis(12B1)'!$B$79:$K$116</definedName>
    <definedName name="BBMJenisTRWIII" localSheetId="9">'[46]BBMJenis(12B1)'!$B$79:$K$116</definedName>
    <definedName name="BBMJenisTRWIII">'[48]BBMJenis(12B1)'!$B$79:$K$116</definedName>
    <definedName name="BBMJenisTRWIV" localSheetId="11">'[46]BBMJenis(12B1)'!$B$118:$K$155</definedName>
    <definedName name="BBMJenisTRWIV" localSheetId="9">'[46]BBMJenis(12B1)'!$B$118:$K$155</definedName>
    <definedName name="BBMJenisTRWIV">'[48]BBMJenis(12B1)'!$B$118:$K$155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'[46]BiLuOp(14)'!$B$1:$G$49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'[46]Bipeg-U(12D2)'!$B$1:$G$53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1">'[46]BiPinjamin(15)'!$B$1:$G$49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11">[51]Uraian!#REF!</definedName>
    <definedName name="bkimia4v" localSheetId="9">[51]Uraian!#REF!</definedName>
    <definedName name="bkimia4v" localSheetId="7">[50]Uraian!#REF!</definedName>
    <definedName name="bkimia4v" localSheetId="12">[50]Uraian!#REF!</definedName>
    <definedName name="bkimia4v">[50]Uraian!#REF!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'[46]BOLain(12E2)'!$B$1:$G$43</definedName>
    <definedName name="BOLain" localSheetId="9">'[46]BOLain(12E2)'!$B$1:$G$43</definedName>
    <definedName name="BOLain">'[47]BOLain(12E2)'!$B$1:$G$43</definedName>
    <definedName name="BoLainTRWI" localSheetId="11">'[46]BOLain(12E2)'!$B$1:$L$44</definedName>
    <definedName name="BoLainTRWI" localSheetId="9">'[46]BOLain(12E2)'!$B$1:$L$44</definedName>
    <definedName name="BoLainTRWI">'[47]BOLain(12E2)'!$B$1:$L$44</definedName>
    <definedName name="BoLainTRWII" localSheetId="11">'[46]BOLain(12E2)'!$B$45:$L$88</definedName>
    <definedName name="BoLainTRWII" localSheetId="9">'[46]BOLain(12E2)'!$B$45:$L$88</definedName>
    <definedName name="BoLainTRWII">'[47]BOLain(12E2)'!$B$45:$L$88</definedName>
    <definedName name="BoLainTRWIII" localSheetId="11">'[46]BOLain(12E2)'!$B$89:$L$132</definedName>
    <definedName name="BoLainTRWIII" localSheetId="9">'[46]BOLain(12E2)'!$B$89:$L$132</definedName>
    <definedName name="BoLainTRWIII">'[47]BOLain(12E2)'!$B$89:$L$132</definedName>
    <definedName name="BoLainTRWIV" localSheetId="11">'[46]BOLain(12E2)'!$B$133:$L$175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11">#REF!</definedName>
    <definedName name="bp" localSheetId="9">#REF!</definedName>
    <definedName name="bp">[32]x!$H$9:$H$47</definedName>
    <definedName name="BPegFTRWI" localSheetId="11">'[46]BPeg-F(12D1)'!$B$1:$H$45</definedName>
    <definedName name="BPegFTRWI" localSheetId="9">'[46]BPeg-F(12D1)'!$B$1:$H$45</definedName>
    <definedName name="BPegFTRWI">'[47]BPeg-F(12D1)'!$B$1:$H$45</definedName>
    <definedName name="BPegFTRWII" localSheetId="11">'[46]BPeg-F(12D1)'!$B$47:$H$92</definedName>
    <definedName name="BPegFTRWII" localSheetId="9">'[46]BPeg-F(12D1)'!$B$47:$H$92</definedName>
    <definedName name="BPegFTRWII">'[47]BPeg-F(12D1)'!$B$47:$H$92</definedName>
    <definedName name="BPegFTRWIII" localSheetId="11">'[46]BPeg-F(12D1)'!$B$93:$H$138</definedName>
    <definedName name="BPegFTRWIII" localSheetId="9">'[46]BPeg-F(12D1)'!$B$93:$H$138</definedName>
    <definedName name="BPegFTRWIII">'[47]BPeg-F(12D1)'!$B$93:$H$138</definedName>
    <definedName name="BPegFTRWIV" localSheetId="11">'[46]BPeg-F(12D1)'!$B$139:$H$184</definedName>
    <definedName name="BPegFTRWIV" localSheetId="9">'[46]BPeg-F(12D1)'!$B$139:$H$184</definedName>
    <definedName name="BPegFTRWIV">'[47]BPeg-F(12D1)'!$B$139:$H$184</definedName>
    <definedName name="BPP" localSheetId="11">'[53]W-NAD'!#REF!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[55]LK2004!#REF!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'[38]Service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[58]CashFlow!$I$56:$J$57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>[35]JAN09!#REF!</definedName>
    <definedName name="csDesignMode">1</definedName>
    <definedName name="ct150kv">'[18]HARGA SATUAN'!$B$27</definedName>
    <definedName name="cus" localSheetId="11">[60]Resume!$E$54</definedName>
    <definedName name="cus" localSheetId="9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[62]Data!$A$8:$AB$19</definedName>
    <definedName name="DATA" localSheetId="9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1">#REF!</definedName>
    <definedName name="_xlnm.Database" localSheetId="9">#REF!</definedName>
    <definedName name="_xlnm.Database" localSheetId="7">#REF!</definedName>
    <definedName name="_xlnm.Database" localSheetId="12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'[65]Harga BBM Indonesia'!$A$8:$A$60</definedName>
    <definedName name="DATES" localSheetId="9">'[65]Harga BBM Indonesia'!$A$8:$A$60</definedName>
    <definedName name="DATES">'[66]Harga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>[67]Sheet5!#REF!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[68]Asumsi!$S$10</definedName>
    <definedName name="DBSend" localSheetId="9">[68]Asumsi!$S$10</definedName>
    <definedName name="DBSend" localSheetId="12">[69]Asumsi!$S$10</definedName>
    <definedName name="DBSend" localSheetId="13">[70]Asumsi!$S$10</definedName>
    <definedName name="DBSend">[71]Asumsi!$S$10</definedName>
    <definedName name="DBSend_2" localSheetId="11">[72]Asumsi!$T$4</definedName>
    <definedName name="DBSend_2" localSheetId="9">[72]Asumsi!$T$4</definedName>
    <definedName name="DBSend_2">[73]Asumsi!$T$4</definedName>
    <definedName name="DBSend_3" localSheetId="11">[74]Asumsi!$U$4</definedName>
    <definedName name="DBSend_3" localSheetId="9">[74]Asumsi!$U$4</definedName>
    <definedName name="DBSend_3">[75]Asumsi!$U$4</definedName>
    <definedName name="dc" localSheetId="6">[76]JAN07!#REF!</definedName>
    <definedName name="dc" localSheetId="11">[77]JAN07!#REF!</definedName>
    <definedName name="dc" localSheetId="9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>[78]JAN07!#REF!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[79]DENPASAR!$A$5:$AG$436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[80]DeVIASI!$A$4:$AC$20</definedName>
    <definedName name="deviasi" localSheetId="9">[80]DeVIASI!$A$4:$AC$20</definedName>
    <definedName name="deviasi">[81]DeVIASI!$A$4:$AC$20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[82]MENU!$H$17:$H$35</definedName>
    <definedName name="DISPATCHER" localSheetId="9">[82]MENU!$H$17:$H$35</definedName>
    <definedName name="DISPATCHER" localSheetId="12">#N/A</definedName>
    <definedName name="DISPATCHER" localSheetId="13">[83]MENU!$H$17:$H$35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[39]ASUMSI!$C$8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[39]L20Keu!$O$7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'[84]O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[30]JAN07!#REF!</definedName>
    <definedName name="FEEDERGGNKDS" localSheetId="11">[35]JAN09!#REF!</definedName>
    <definedName name="FEEDERGGNKDS" localSheetId="9">[35]JAN09!#REF!</definedName>
    <definedName name="FEEDERGGNKDS" localSheetId="7">[30]JAN07!#REF!</definedName>
    <definedName name="FEEDERGGNKDS" localSheetId="12">[85]JAN07!#REF!</definedName>
    <definedName name="FEEDERGGNKDS">[85]JAN07!#REF!</definedName>
    <definedName name="FEEDERGGNSLG" localSheetId="6">[30]JAN07!#REF!</definedName>
    <definedName name="FEEDERGGNSLG" localSheetId="11">[35]JAN09!#REF!</definedName>
    <definedName name="FEEDERGGNSLG" localSheetId="9">[35]JAN09!#REF!</definedName>
    <definedName name="FEEDERGGNSLG" localSheetId="7">[30]JAN07!#REF!</definedName>
    <definedName name="FEEDERGGNSLG" localSheetId="12">[85]JAN07!#REF!</definedName>
    <definedName name="FEEDERGGNSLG">[85]JAN07!#REF!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[86]Smg!$A$1:$A$968</definedName>
    <definedName name="FEEDERSMG" localSheetId="9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[87]UshDeb00!#REF!</definedName>
    <definedName name="FILL" localSheetId="9" hidden="1">[87]UshDeb00!#REF!</definedName>
    <definedName name="FILL" hidden="1">[88]UshDeb00!#REF!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'[89]Resource Plan (2)'!$H$120</definedName>
    <definedName name="fp" localSheetId="11">[33]x!$G$9:$G$47</definedName>
    <definedName name="fp" localSheetId="9">[33]x!$G$9:$G$47</definedName>
    <definedName name="fp">[32]x!$G$9:$G$47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[82]MENU!$M$11:$M$124</definedName>
    <definedName name="GANGGUAN" localSheetId="9">[82]MENU!$M$11:$M$124</definedName>
    <definedName name="GANGGUAN" localSheetId="12">#N/A</definedName>
    <definedName name="GANGGUAN" localSheetId="13">[83]MENU!$M$11:$M$124</definedName>
    <definedName name="GANGGUAN">#N/A</definedName>
    <definedName name="GARDU" localSheetId="11">[82]PARAMETER!$A$11:$A$1059</definedName>
    <definedName name="GARDU" localSheetId="9">[82]PARAMETER!$A$11:$A$1059</definedName>
    <definedName name="GARDU" localSheetId="12">#N/A</definedName>
    <definedName name="GARDU" localSheetId="13">[83]PARAMETER!$A$11:$A$1059</definedName>
    <definedName name="GARDU">#N/A</definedName>
    <definedName name="GARDU1" localSheetId="11">[82]MENU!$A$11:$A$110</definedName>
    <definedName name="GARDU1" localSheetId="9">[82]MENU!$A$11:$A$110</definedName>
    <definedName name="GARDU1" localSheetId="12">#N/A</definedName>
    <definedName name="GARDU1" localSheetId="13">[83]MENU!$A$11:$A$110</definedName>
    <definedName name="GARDU1">#N/A</definedName>
    <definedName name="GBP" localSheetId="11">[39]L20Keu!$O$8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[86]Smg!$I$1:$I$968</definedName>
    <definedName name="GFRSMG" localSheetId="9">[86]Smg!$I$1:$I$968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[91]RAB!$F$12:$J$175</definedName>
    <definedName name="hari" localSheetId="11">#REF!</definedName>
    <definedName name="hari" localSheetId="9">#REF!</definedName>
    <definedName name="hari" localSheetId="12">[92]Format!$AA$1:$AG$1</definedName>
    <definedName name="hari" localSheetId="13">[92]Format!$AA$1:$AG$1</definedName>
    <definedName name="hari">[93]Format!$AA$1:$AG$1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'[94]MATERIAL juni 05'!$A:$AH</definedName>
    <definedName name="HMAT" localSheetId="13">'[94]MATERIAL juni 05'!$A$1:$AH$65536</definedName>
    <definedName name="HMAT">'[94]MATERIAL juni 05'!$A$1:$AH$65536</definedName>
    <definedName name="HMRIEL" localSheetId="11">'[94]UPDATE 25 JANUARI 2007'!$1:$1048576</definedName>
    <definedName name="HMRIEL" localSheetId="9">'[94]UPDATE 25 JANUARI 2007'!$1:$1048576</definedName>
    <definedName name="HMRIEL" localSheetId="12">'[94]UPDATE 25 JANUARI 2007'!$1:$1048576</definedName>
    <definedName name="HMRIEL" localSheetId="13">'[94]UPDATE 25 JANUARI 2007'!$A:$IV</definedName>
    <definedName name="HMRIEL">'[94]UPDATE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'[65]Harga BBM Indonesia'!$B$5:$D$5</definedName>
    <definedName name="IDS" localSheetId="9">'[65]Harga BBM Indonesia'!$B$5:$D$5</definedName>
    <definedName name="IDS">'[66]Harga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'[46]IkhtisarBiop(12.0)'!$B$1:$M$49</definedName>
    <definedName name="IkhtBiopTRWI" localSheetId="9">'[46]IkhtisarBiop(12.0)'!$B$1:$M$49</definedName>
    <definedName name="IkhtBiopTRWI">'[48]IkhtisarBiop(12.0)'!$B$1:$M$49</definedName>
    <definedName name="IkhtBiopTRWII" localSheetId="11">'[46]IkhtisarBiop(12.0)'!$B$51:$M$99</definedName>
    <definedName name="IkhtBiopTRWII" localSheetId="9">'[46]IkhtisarBiop(12.0)'!$B$51:$M$99</definedName>
    <definedName name="IkhtBiopTRWII">'[48]IkhtisarBiop(12.0)'!$B$51:$M$99</definedName>
    <definedName name="IkhtBiopTRWIII" localSheetId="11">'[46]IkhtisarBiop(12.0)'!$B$101:$M$149</definedName>
    <definedName name="IkhtBiopTRWIII" localSheetId="9">'[46]IkhtisarBiop(12.0)'!$B$101:$M$149</definedName>
    <definedName name="IkhtBiopTRWIII">'[48]IkhtisarBiop(12.0)'!$B$101:$M$149</definedName>
    <definedName name="IkhtBiopTRWIV" localSheetId="11">'[46]IkhtisarBiop(12.0)'!$B$151:$M$199</definedName>
    <definedName name="IkhtBiopTRWIV" localSheetId="9">'[46]IkhtisarBiop(12.0)'!$B$151:$M$199</definedName>
    <definedName name="IkhtBiopTRWIV">'[48]IkhtisarBiop(12.0)'!$B$151:$M$199</definedName>
    <definedName name="Impor_W1_W2" localSheetId="11">[95]NerSubsis!$D$41</definedName>
    <definedName name="Impor_W1_W2" localSheetId="9">[95]NerSubsis!$D$41</definedName>
    <definedName name="Impor_W1_W2">[96]NerSubsis!$D$41</definedName>
    <definedName name="INDEX_KODE" localSheetId="11">[82]MENU!$O$11:$O$124</definedName>
    <definedName name="INDEX_KODE" localSheetId="9">[82]MENU!$O$11:$O$124</definedName>
    <definedName name="INDEX_KODE" localSheetId="12">#N/A</definedName>
    <definedName name="INDEX_KODE" localSheetId="13">[83]MENU!$O$11:$O$124</definedName>
    <definedName name="INDEX_KODE">#N/A</definedName>
    <definedName name="INDEX1" localSheetId="11">[82]MENU!$C$11:$C$110</definedName>
    <definedName name="INDEX1" localSheetId="9">[82]MENU!$C$11:$C$110</definedName>
    <definedName name="INDEX1" localSheetId="12">#N/A</definedName>
    <definedName name="INDEX1" localSheetId="13">[83]MENU!$C$11:$C$110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[97]DTU!$B$2:$D$48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'[98]Neraca seAPJ'!#REF!</definedName>
    <definedName name="input" localSheetId="11">'[98]Neraca seAPJ'!#REF!</definedName>
    <definedName name="input" localSheetId="9">'[98]Neraca seAPJ'!#REF!</definedName>
    <definedName name="input" localSheetId="7">'[98]Neraca seAPJ'!#REF!</definedName>
    <definedName name="input" localSheetId="5">'[98]Neraca seAPJ'!#REF!</definedName>
    <definedName name="input" localSheetId="12">'[98]Neraca seAPJ'!#REF!</definedName>
    <definedName name="input">'[98]Neraca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>[35]JAN09!#REF!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'[99]W-NAD'!#REF!</definedName>
    <definedName name="JAJA" localSheetId="11">'[31]W-NAD'!#REF!</definedName>
    <definedName name="JAJA" localSheetId="9">'[31]W-NAD'!#REF!</definedName>
    <definedName name="JAJA" localSheetId="7">'[99]W-NAD'!#REF!</definedName>
    <definedName name="JAJA" localSheetId="12">'[99]W-NAD'!#REF!</definedName>
    <definedName name="JAJA">'[99]W-NAD'!#REF!</definedName>
    <definedName name="jamkerja">'[100]D2. ANALISA HS INSHAR'!$D$2</definedName>
    <definedName name="JamKerja01">'[101]E3. ANALISA HS HAR TEK SUTM'!$D$2</definedName>
    <definedName name="jamkerjaentri" localSheetId="6">'[100]D2. ANALISA HS INSHAR'!#REF!</definedName>
    <definedName name="jamkerjaentri" localSheetId="7">'[100]D2. ANALISA HS INSHAR'!#REF!</definedName>
    <definedName name="jamkerjaentri" localSheetId="5">'[100]D2. ANALISA HS INSHAR'!#REF!</definedName>
    <definedName name="jamkerjaentri" localSheetId="12">'[100]D2. ANALISA HS INSHAR'!#REF!</definedName>
    <definedName name="jamkerjaentri">'[100]D2. ANALISA HS INSHAR'!#REF!</definedName>
    <definedName name="jamkerjahar">'[101]E6.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[102]Jasa!$B:$F</definedName>
    <definedName name="jasa" localSheetId="9">[102]Jasa!$B:$F</definedName>
    <definedName name="jasa" localSheetId="12">[102]Jasa!$B:$F</definedName>
    <definedName name="jasa" localSheetId="13">[102]Jasa!$B$1:$F$65536</definedName>
    <definedName name="jasa">[102]Jasa!$B$1:$F$65536</definedName>
    <definedName name="jasa." localSheetId="12">[102]Jasa!$B:$F</definedName>
    <definedName name="jasa." localSheetId="13">[102]Jasa!$B$1:$F$65536</definedName>
    <definedName name="jasa.">[102]Jasa!$B$1:$F$65536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[103]data!$F$2:$F$4</definedName>
    <definedName name="jenis_pph">[103]data!$E$2:$E$7</definedName>
    <definedName name="jesi">#REF!</definedName>
    <definedName name="JFYDYFG" hidden="1">[104]PkRp!#REF!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[39]L20Keu!$O$9</definedName>
    <definedName name="JPY" localSheetId="9">[39]L20Keu!$O$9</definedName>
    <definedName name="JPY">[40]L20Keu!$O$9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'[46]JualGTarif(11A)'!$B$1:$I$59</definedName>
    <definedName name="JualGTarifTRWI" localSheetId="9">'[46]JualGTarif(11A)'!$B$1:$I$59</definedName>
    <definedName name="JualGTarifTRWI">'[48]JualGTarif(11A)'!$B$1:$I$59</definedName>
    <definedName name="JualGTarifTRWII" localSheetId="11">'[46]JualGTarif(11A)'!$B$61:$I$119</definedName>
    <definedName name="JualGTarifTRWII" localSheetId="9">'[46]JualGTarif(11A)'!$B$61:$I$119</definedName>
    <definedName name="JualGTarifTRWII">'[48]JualGTarif(11A)'!$B$61:$I$119</definedName>
    <definedName name="JualGTarifTRWIII" localSheetId="11">'[46]JualGTarif(11A)'!$B$121:$I$178</definedName>
    <definedName name="JualGTarifTRWIII" localSheetId="9">'[46]JualGTarif(11A)'!$B$121:$I$178</definedName>
    <definedName name="JualGTarifTRWIII">'[48]JualGTarif(11A)'!$B$121:$I$178</definedName>
    <definedName name="JualGTarifTRWIV" localSheetId="11">'[46]JualGTarif(11A)'!$B$180:$I$237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>[37]JAN09!#REF!</definedName>
    <definedName name="KALIKDS" localSheetId="6">[30]JAN07!#REF!</definedName>
    <definedName name="KALIKDS" localSheetId="11">[35]JAN09!#REF!</definedName>
    <definedName name="KALIKDS" localSheetId="9">[35]JAN09!#REF!</definedName>
    <definedName name="KALIKDS" localSheetId="7">[30]JAN07!#REF!</definedName>
    <definedName name="KALIKDS" localSheetId="12">[85]JAN07!#REF!</definedName>
    <definedName name="KALIKDS">[85]JAN07!#REF!</definedName>
    <definedName name="KALISLG" localSheetId="6">[30]JAN07!#REF!</definedName>
    <definedName name="KALISLG" localSheetId="11">[35]JAN09!#REF!</definedName>
    <definedName name="KALISLG" localSheetId="9">[35]JAN09!#REF!</definedName>
    <definedName name="KALISLG" localSheetId="7">[30]JAN07!#REF!</definedName>
    <definedName name="KALISLG" localSheetId="12">[85]JAN07!#REF!</definedName>
    <definedName name="KALISLG">[85]JAN07!#REF!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>[41]Usulan!#REF!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'[53]W-NAD'!#REF!</definedName>
    <definedName name="klarifikasi" localSheetId="9">'[53]W-NAD'!#REF!</definedName>
    <definedName name="klarifikasi">'[54]W-NAD'!#REF!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[82]MENU!$N$11:$N$124</definedName>
    <definedName name="KODE_GANGGUAN" localSheetId="9">[82]MENU!$N$11:$N$124</definedName>
    <definedName name="KODE_GANGGUAN" localSheetId="12">#N/A</definedName>
    <definedName name="KODE_GANGGUAN" localSheetId="13">[83]MENU!$N$11:$N$124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[82]PARAMETER!$D$11:$D$1059</definedName>
    <definedName name="KODE_OUTGOING" localSheetId="9">[82]PARAMETER!$D$11:$D$1059</definedName>
    <definedName name="KODE_OUTGOING" localSheetId="12">#N/A</definedName>
    <definedName name="KODE_OUTGOING" localSheetId="13">[83]PARAMETER!$D$11:$D$1059</definedName>
    <definedName name="KODE_OUTGOING">#N/A</definedName>
    <definedName name="KODE1" localSheetId="11">[82]MENU!$B$11:$B$110</definedName>
    <definedName name="KODE1" localSheetId="9">[82]MENU!$B$11:$B$110</definedName>
    <definedName name="KODE1" localSheetId="12">#N/A</definedName>
    <definedName name="KODE1" localSheetId="13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[80]KoMposisi!$A$6:$BV$22</definedName>
    <definedName name="komposisi" localSheetId="9">[80]KoMposisi!$A$6:$BV$22</definedName>
    <definedName name="komposisi">[81]KoMposisi!$A$6:$BV$22</definedName>
    <definedName name="KomunikasiBulan" localSheetId="12">#N/A</definedName>
    <definedName name="KomunikasiBulan" localSheetId="13">'[36]AHS - Non Personel'!$D$22</definedName>
    <definedName name="KomunikasiBulan">#N/A</definedName>
    <definedName name="KomunikasiHari" localSheetId="12">#N/A</definedName>
    <definedName name="KomunikasiHari" localSheetId="13">'[36]AHS - Non Personel'!$D$21</definedName>
    <definedName name="KomunikasiHari">#N/A</definedName>
    <definedName name="konsolidasi1" localSheetId="11">[105]W1!$A$1:$K$35</definedName>
    <definedName name="konsolidasi1" localSheetId="9">[105]W1!$A$1:$K$35</definedName>
    <definedName name="konsolidasi1">[106]W1!$A$1:$K$35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[107]LR!$W$9</definedName>
    <definedName name="KURS" localSheetId="9">[107]LR!$W$9</definedName>
    <definedName name="Kurs">[108]Cover!$C$5</definedName>
    <definedName name="KursUSD">[109]Asumsi!$E$9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[86]Smg!$G$1:$G$968</definedName>
    <definedName name="KWHSMG" localSheetId="9">[86]Smg!$G$1:$G$968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[110]PMT!#REF!</definedName>
    <definedName name="l" localSheetId="11" hidden="1">{#N/A,#N/A,FALSE,"M.42"}</definedName>
    <definedName name="l" localSheetId="9" hidden="1">{#N/A,#N/A,FALSE,"M.42"}</definedName>
    <definedName name="l" localSheetId="7">[110]PMT!#REF!</definedName>
    <definedName name="l" localSheetId="12">[110]PMT!#REF!</definedName>
    <definedName name="l">[110]PMT!#REF!</definedName>
    <definedName name="L_19" localSheetId="6">'[111]FORM-B'!#REF!</definedName>
    <definedName name="L_19" localSheetId="11">'[112]FORM-B'!#REF!</definedName>
    <definedName name="L_19" localSheetId="9">'[112]FORM-B'!#REF!</definedName>
    <definedName name="L_19" localSheetId="7">'[111]FORM-B'!#REF!</definedName>
    <definedName name="L_19" localSheetId="12">'[111]FORM-B'!#REF!</definedName>
    <definedName name="L_19">'[111]FORM-B'!#REF!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'[46]LabaRugi Fungsi'!$B$1:$J$60</definedName>
    <definedName name="LabaRugiFungsi" localSheetId="9">'[46]LabaRugi Fungsi'!$B$1:$J$60</definedName>
    <definedName name="LabaRugiFungsi">'[48]LabaRugi Fungsi'!$B$1:$J$60</definedName>
    <definedName name="LabaRugiFungsi2004" localSheetId="11">'[46]LabaRugi Fungsi2004(21B)'!$B$1:$E$46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11">'[46]LabaRugi Lainnya 2005(20)'!$B$1:$G$30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11">'[46]LabaRugi Unsur2004(21A)'!$D$1:$G$91</definedName>
    <definedName name="LabaRugiUnsur2004" localSheetId="9">'[46]LabaRugi Unsur2004(21A)'!$D$1:$G$91</definedName>
    <definedName name="LabaRugiUnsur2004">'[48]LabaRugi Unsur2004(21A)'!$D$1:$G$91</definedName>
    <definedName name="LABARUGIYR">[113]Asumsi!$V$2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[86]Smg!$E$1:$E$968</definedName>
    <definedName name="LAMASMG" localSheetId="9">[86]Smg!$E$1:$E$968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[114]INPBA!$F$2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1">#REF!</definedName>
    <definedName name="lincuran" localSheetId="9">#REF!</definedName>
    <definedName name="lincuran">#REF!</definedName>
    <definedName name="Listrik">'[115]AHS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>[35]JAN09!#REF!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[116]Sheet3!$D$15</definedName>
    <definedName name="luncur" localSheetId="9">[116]Sheet3!$D$15</definedName>
    <definedName name="luncur">[117]Sheet3!$D$15</definedName>
    <definedName name="luncuran" localSheetId="11">[116]Sheet3!$D$15</definedName>
    <definedName name="luncuran" localSheetId="9">[116]Sheet3!$D$15</definedName>
    <definedName name="luncuran">[117]Sheet3!$D$15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'[111]FORM-B'!#REF!</definedName>
    <definedName name="M_19" localSheetId="11">'[112]FORM-B'!#REF!</definedName>
    <definedName name="M_19" localSheetId="9">'[112]FORM-B'!#REF!</definedName>
    <definedName name="M_19" localSheetId="7">'[111]FORM-B'!#REF!</definedName>
    <definedName name="M_19" localSheetId="12">'[111]FORM-B'!#REF!</definedName>
    <definedName name="M_19">'[111]FORM-B'!#REF!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>[67]Sheet5!#REF!</definedName>
    <definedName name="ManProBln" localSheetId="12">#N/A</definedName>
    <definedName name="ManProBln" localSheetId="13">'[36]AHS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[102]Mat!$B:$L</definedName>
    <definedName name="mat" localSheetId="9">[102]Mat!$B:$L</definedName>
    <definedName name="mat" localSheetId="12">[102]Mat!$B:$L</definedName>
    <definedName name="mat" localSheetId="13">[102]Mat!$B$1:$L$65536</definedName>
    <definedName name="mat">[102]Mat!$B$1:$L$65536</definedName>
    <definedName name="mat." localSheetId="12">[102]Mat!$B:$L</definedName>
    <definedName name="mat." localSheetId="13">[102]Mat!$B$1:$L$65536</definedName>
    <definedName name="mat.">[102]Mat!$B$1:$L$65536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[118]aruskas!$A$110:$T$180</definedName>
    <definedName name="MD_19" localSheetId="11">[119]aruskas!$A$110:$T$180</definedName>
    <definedName name="MD_19" localSheetId="9">[119]aruskas!$A$110:$T$180</definedName>
    <definedName name="MD_19">[120]aruskas!$A$110:$T$180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[82]MENU!$D$11:$D$110</definedName>
    <definedName name="MENU_GARDU" localSheetId="9">[82]MENU!$D$11:$D$110</definedName>
    <definedName name="MENU_GARDU" localSheetId="12">#N/A</definedName>
    <definedName name="MENU_GARDU" localSheetId="13">[83]MENU!$D$11:$D$110</definedName>
    <definedName name="MENU_GARDU">#N/A</definedName>
    <definedName name="MENU_PENYULANG" localSheetId="11">[82]MENU!$F$11:$F$40</definedName>
    <definedName name="MENU_PENYULANG" localSheetId="9">[82]MENU!$F$11:$F$40</definedName>
    <definedName name="MENU_PENYULANG" localSheetId="12">#N/A</definedName>
    <definedName name="MENU_PENYULANG" localSheetId="13">[83]MENU!$F$11:$F$40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[121]Resume!$E$55</definedName>
    <definedName name="mfo" localSheetId="9">[121]Resume!$E$55</definedName>
    <definedName name="mfo">[122]Resume!$E$55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'[123]Standar Konstruksi'!$G$29:$G$29</definedName>
    <definedName name="MmExcelLinker_56E02BF7_1622_44A2_A1B4_91C09D796B1E" localSheetId="7">KKF!RAB-PER '[123]Standar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[124]Cover!$B$7</definedName>
    <definedName name="NamaWil" localSheetId="9">[124]Cover!$B$7</definedName>
    <definedName name="NamaWil">[124]Cover!$B$7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>[41]Usulan!#REF!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[33]x!$A$9:$A$47</definedName>
    <definedName name="no" localSheetId="9">[33]x!$A$9:$A$47</definedName>
    <definedName name="no">[32]x!$A$9:$A$47</definedName>
    <definedName name="NO_KODE" localSheetId="6">#N/A</definedName>
    <definedName name="NO_KODE" localSheetId="11">[82]MENU!#REF!</definedName>
    <definedName name="NO_KODE" localSheetId="9">[82]MENU!#REF!</definedName>
    <definedName name="NO_KODE" localSheetId="7">#N/A</definedName>
    <definedName name="NO_KODE" localSheetId="12">#N/A</definedName>
    <definedName name="NO_KODE" localSheetId="13">[83]MENU!#REF!</definedName>
    <definedName name="NO_KODE">#N/A</definedName>
    <definedName name="NoBlanksRange">OFFSET('[38]Working Page'!$G$53,0,0,SUMPRODUCT(--(TRIM('[38]Working Page'!$G$53:$G$85)&lt;&gt;"")),1)</definedName>
    <definedName name="nop" localSheetId="11">#REF!</definedName>
    <definedName name="nop" localSheetId="9">#REF!</definedName>
    <definedName name="nop">[32]x!$A$100:$A$101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[125]ca!#REF!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'[65]Harga BBM Indonesia'!$B$8:$D$60</definedName>
    <definedName name="OBS" localSheetId="9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[86]Smg!$H$1:$H$968</definedName>
    <definedName name="OCRSMG" localSheetId="9">[86]Smg!$H$1:$H$968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'[36]AHS - Personel'!$G$19</definedName>
    <definedName name="Opr_Hari">#N/A</definedName>
    <definedName name="opv">[126]Valuation!$I$53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[82]PARAMETER!$B$11:$B$1059</definedName>
    <definedName name="OUTGOING" localSheetId="9">[82]PARAMETER!$B$11:$B$1059</definedName>
    <definedName name="OUTGOING" localSheetId="12">#N/A</definedName>
    <definedName name="OUTGOING" localSheetId="13">[83]PARAMETER!$B$11:$B$1059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[127]UshDeb00!#REF!</definedName>
    <definedName name="pdi" localSheetId="9" hidden="1">[127]UshDeb00!#REF!</definedName>
    <definedName name="pdi" hidden="1">[128]UshDeb00!#REF!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[33]x!$B$100:$B$101</definedName>
    <definedName name="pe" localSheetId="9">[33]x!$B$100:$B$101</definedName>
    <definedName name="pe">[32]x!$B$100:$B$101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'[46]PembelianiTL(12A1'!$B$1:$S$55</definedName>
    <definedName name="PembelianiTRWI" localSheetId="9">'[46]PembelianiTL(12A1'!$B$1:$S$55</definedName>
    <definedName name="PembelianiTRWI">'[48]PembelianiTL(12A1'!$B$1:$S$55</definedName>
    <definedName name="PembelianiTRWII" localSheetId="11">'[46]PembelianiTL(12A1'!$B$56:$S$110</definedName>
    <definedName name="PembelianiTRWII" localSheetId="9">'[46]PembelianiTL(12A1'!$B$56:$S$110</definedName>
    <definedName name="PembelianiTRWII">'[48]PembelianiTL(12A1'!$B$56:$S$110</definedName>
    <definedName name="PembelianiTRWIII" localSheetId="11">'[46]PembelianiTL(12A1'!$B$111:$S$165</definedName>
    <definedName name="PembelianiTRWIII" localSheetId="9">'[46]PembelianiTL(12A1'!$B$111:$S$165</definedName>
    <definedName name="PembelianiTRWIII">'[48]PembelianiTL(12A1'!$B$111:$S$165</definedName>
    <definedName name="PembelianiTRWIV" localSheetId="11">'[46]PembelianiTL(12A1'!$B$166:$S$220</definedName>
    <definedName name="PembelianiTRWIV" localSheetId="9">'[46]PembelianiTL(12A1'!$B$166:$S$220</definedName>
    <definedName name="PembelianiTRWIV">'[48]PembelianiTL(12A1'!$B$166:$S$220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'[46]PendaLuOp(13)'!$B$1:$G$58</definedName>
    <definedName name="PendaLuOp" localSheetId="9">'[46]PendaLuOp(13)'!$B$1:$G$58</definedName>
    <definedName name="PendaLuOp">'[47]PendaLuOp(13)'!$B$1:$G$58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'[46]PendOpLain(11B)'!$B$1:$G$33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'[47]PenjTL(18)'!$B$1:$J$39</definedName>
    <definedName name="PenjTLTRWII" localSheetId="11">#REF!</definedName>
    <definedName name="PenjTLTRWII" localSheetId="9">#REF!</definedName>
    <definedName name="PenjTLTRWII">'[47]PenjTL(18)'!$B$41:$J$79</definedName>
    <definedName name="PenjTLTRWIII" localSheetId="11">#REF!</definedName>
    <definedName name="PenjTLTRWIII" localSheetId="9">#REF!</definedName>
    <definedName name="PenjTLTRWIII">'[47]PenjTL(18)'!$B$81:$J$119</definedName>
    <definedName name="PenjTLTRWIV" localSheetId="11">#REF!</definedName>
    <definedName name="PenjTLTRWIV" localSheetId="9">#REF!</definedName>
    <definedName name="PenjTLTRWIV">'[47]PenjTL(18)'!$B$121:$J$159</definedName>
    <definedName name="PENYULANG">[129]TABEL!$A$2:$A$81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[110]PMT!$D$12:$D$55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>[35]JAN09!#REF!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[103]data!$G$2:$G$54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>[67]Sheet5!#REF!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Standart'!$A$1:$K$163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>[67]Sheet5!#REF!</definedName>
    <definedName name="prk">[130]PRK!#REF!</definedName>
    <definedName name="ProduksiTRWI" localSheetId="11">'[46]ProduksiTL(12B2)'!$B$1:$W$38</definedName>
    <definedName name="ProduksiTRWI" localSheetId="9">'[46]ProduksiTL(12B2)'!$B$1:$W$38</definedName>
    <definedName name="ProduksiTRWI">'[48]ProduksiTL(12B2)'!$B$1:$W$38</definedName>
    <definedName name="ProduksiTRWII" localSheetId="11">'[46]ProduksiTL(12B2)'!$B$41:$W$78</definedName>
    <definedName name="ProduksiTRWII" localSheetId="9">'[46]ProduksiTL(12B2)'!$B$41:$W$78</definedName>
    <definedName name="ProduksiTRWII">'[48]ProduksiTL(12B2)'!$B$41:$W$78</definedName>
    <definedName name="ProduksiTRWIII" localSheetId="11">'[46]ProduksiTL(12B2)'!$B$81:$W$118</definedName>
    <definedName name="ProduksiTRWIII" localSheetId="9">'[46]ProduksiTL(12B2)'!$B$81:$W$118</definedName>
    <definedName name="ProduksiTRWIII">'[48]ProduksiTL(12B2)'!$B$81:$W$118</definedName>
    <definedName name="ProduksiTRWIV" localSheetId="11">'[46]ProduksiTL(12B2)'!$B$121:$W$158</definedName>
    <definedName name="ProduksiTRWIV" localSheetId="9">'[46]ProduksiTL(12B2)'!$B$121:$W$158</definedName>
    <definedName name="ProduksiTRWIV">'[48]ProduksiTL(12B2)'!$B$121:$W$158</definedName>
    <definedName name="ProgGISBln" localSheetId="12">#N/A</definedName>
    <definedName name="ProgGISBln" localSheetId="13">'[36]AHS - Personel'!$F$11</definedName>
    <definedName name="ProgGISBln">#N/A</definedName>
    <definedName name="ProgGISHari" localSheetId="12">#N/A</definedName>
    <definedName name="ProgGISHari" localSheetId="13">'[36]AHS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[131]JURNAL!#REF!</definedName>
    <definedName name="pur" localSheetId="11" hidden="1">{#N/A,#N/A,FALSE,"M.34"}</definedName>
    <definedName name="pur" localSheetId="9" hidden="1">{#N/A,#N/A,FALSE,"M.34"}</definedName>
    <definedName name="PUR" localSheetId="7">[131]JURNAL!#REF!</definedName>
    <definedName name="PUR" localSheetId="12">[131]JURNAL!#REF!</definedName>
    <definedName name="PUR">[131]JURNAL!#REF!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[35]JAN09!#REF!</definedName>
    <definedName name="rafi" localSheetId="11">[35]JAN09!#REF!</definedName>
    <definedName name="rafi" localSheetId="9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>[35]JAN09!#REF!</definedName>
    <definedName name="raja" localSheetId="6">[35]JAN09!#REF!</definedName>
    <definedName name="raja" localSheetId="11">[35]JAN09!#REF!</definedName>
    <definedName name="raja" localSheetId="9">[35]JAN09!#REF!</definedName>
    <definedName name="raja" localSheetId="7">[35]JAN09!#REF!</definedName>
    <definedName name="raja" localSheetId="12">[35]JAN09!#REF!</definedName>
    <definedName name="raja">[35]JAN09!#REF!</definedName>
    <definedName name="Raker">'[132]W-NAD'!#REF!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>[35]JAN09!#REF!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'[133]entry REC  trip'!$C$11:$C$226</definedName>
    <definedName name="REC" localSheetId="9">'[133]entry REC  trip'!$C$11:$C$226</definedName>
    <definedName name="REC" localSheetId="12">'[131]BB PUSAT'!$A:$C</definedName>
    <definedName name="REC" localSheetId="13">'[131]BB PUSAT'!$A$1:$C$65536</definedName>
    <definedName name="REC">'[131]BB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[82]MENU!$J$17:$J$24</definedName>
    <definedName name="RELE" localSheetId="9">[82]MENU!$J$17:$J$24</definedName>
    <definedName name="RELE" localSheetId="12">#N/A</definedName>
    <definedName name="RELE" localSheetId="13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'[134]Sudah Berjalan'!#REF!</definedName>
    <definedName name="rrr" localSheetId="9" hidden="1">'[134]Sudah Berjalan'!#REF!</definedName>
    <definedName name="rrr" hidden="1">'[135]Sudah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[136]JAN07!#REF!</definedName>
    <definedName name="rtyu" localSheetId="7">[136]JAN07!#REF!</definedName>
    <definedName name="rtyu" localSheetId="12">[137]JAN07!#REF!</definedName>
    <definedName name="rtyu">[137]JAN07!#REF!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[38]Salary!$D$7:$AJ$38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[138]PICKUP!$D$12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>[35]JAN09!#REF!</definedName>
    <definedName name="sastro">#REF!</definedName>
    <definedName name="SATUAN" localSheetId="12">'[139]Rekap PMG.'!$A$10:$E$51</definedName>
    <definedName name="SATUAN" localSheetId="13">'[140]Rekap PMG.'!$A$10:$E$51</definedName>
    <definedName name="SATUAN">'[140]Rekap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[141]x!$G$9:$G$47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[97]DTU!$B$2:$D$48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>[35]JAN09!#REF!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'[142]master rab'!$B:$H</definedName>
    <definedName name="sds" localSheetId="13">'[142]master rab'!$B$1:$H$65536</definedName>
    <definedName name="sds">'[142]master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'[98]Neraca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[82]MENU!$J$11:$J$13</definedName>
    <definedName name="SEBUTAN" localSheetId="9">[82]MENU!$J$11:$J$13</definedName>
    <definedName name="SEBUTAN" localSheetId="12">#N/A</definedName>
    <definedName name="SEBUTAN" localSheetId="13">[83]MENU!$J$11:$J$13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[143]LAIN2!$Z$5</definedName>
    <definedName name="serib">[143]LAIN2!$Z$6</definedName>
    <definedName name="Service_Mapping">'[38]Service Mapping'!$C$6:$Y$39</definedName>
    <definedName name="sewadetektorkabel_har">'[115]AHS - Non Personel'!$D$31</definedName>
    <definedName name="SewaDisTRWI" localSheetId="11">'[46]SewaPemb(12A2)'!$B$1:$T$36</definedName>
    <definedName name="SewaDisTRWI" localSheetId="9">'[46]SewaPemb(12A2)'!$B$1:$T$36</definedName>
    <definedName name="SewaDisTRWI">'[48]SewaPemb(12A2)'!$B$1:$T$36</definedName>
    <definedName name="SewaDisTRWII" localSheetId="11">'[46]SewaPemb(12A2)'!$B$39:$T$75</definedName>
    <definedName name="SewaDisTRWII" localSheetId="9">'[46]SewaPemb(12A2)'!$B$39:$T$75</definedName>
    <definedName name="SewaDisTRWII">'[48]SewaPemb(12A2)'!$B$39:$T$75</definedName>
    <definedName name="SewaDisTRWIII" localSheetId="11">'[46]SewaPemb(12A2)'!$B$77:$T$113</definedName>
    <definedName name="SewaDisTRWIII" localSheetId="9">'[46]SewaPemb(12A2)'!$B$77:$T$113</definedName>
    <definedName name="SewaDisTRWIII">'[48]SewaPemb(12A2)'!$B$77:$T$113</definedName>
    <definedName name="SewaDisTRWIV" localSheetId="11">'[46]SewaPemb(12A2)'!$B$115:$T$151</definedName>
    <definedName name="SewaDisTRWIV" localSheetId="9">'[46]SewaPemb(12A2)'!$B$115:$T$151</definedName>
    <definedName name="SewaDisTRWIV">'[48]SewaPemb(12A2)'!$B$115:$T$151</definedName>
    <definedName name="sewaGPS">'[115]AHS - Non Personel'!$D$27</definedName>
    <definedName name="SewaKantorBulan">'[115]AHS - Non Personel'!$D$23</definedName>
    <definedName name="SewaKomHari" localSheetId="12">#N/A</definedName>
    <definedName name="SewaKomHari" localSheetId="13">'[36]AHS - Non Personel'!$D$15</definedName>
    <definedName name="SewaKomHari">#N/A</definedName>
    <definedName name="SewaLaptopBln" localSheetId="12">#N/A</definedName>
    <definedName name="SewaLaptopBln" localSheetId="13">'[36]AHS - Non Personel'!$D$12</definedName>
    <definedName name="SewaLaptopBln">#N/A</definedName>
    <definedName name="SewaMejaKursi">'[115]AHS - Non Personel'!$D$32</definedName>
    <definedName name="SewaMobil" localSheetId="12">#N/A</definedName>
    <definedName name="SewaMobil" localSheetId="13">'[36]AHS - Non Personel'!$D$8</definedName>
    <definedName name="SewaMobil">#N/A</definedName>
    <definedName name="sewamobilbak_hari">'[115]AHS - Non Personel'!$D$29</definedName>
    <definedName name="SewaMotorBln" localSheetId="12">#N/A</definedName>
    <definedName name="SewaMotorBln" localSheetId="13">'[36]AHS - Non Personel'!$D$10</definedName>
    <definedName name="SewaMotorBln">#N/A</definedName>
    <definedName name="SewaMotorHari" localSheetId="12">#N/A</definedName>
    <definedName name="SewaMotorHari" localSheetId="13">'[36]AHS - Non Personel'!$D$11</definedName>
    <definedName name="SewaMotorHari">#N/A</definedName>
    <definedName name="SewaRumahBulan">'[115]AHS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[144]Sensitivitas!$D$26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VLOOKUP([52]KINERJA_PMT!XEZ1048569,#REF!,2,0)</definedName>
    <definedName name="STATUS_REMOTE" localSheetId="11">[82]PARAMETER!$C$11:$C$1059</definedName>
    <definedName name="STATUS_REMOTE" localSheetId="9">[82]PARAMETER!$C$11:$C$1059</definedName>
    <definedName name="STATUS_REMOTE" localSheetId="12">#N/A</definedName>
    <definedName name="STATUS_REMOTE" localSheetId="13">[83]PARAMETER!$C$11:$C$1059</definedName>
    <definedName name="STATUS_REMOTE">#N/A</definedName>
    <definedName name="std" localSheetId="12">[145]HB2!$A:$L</definedName>
    <definedName name="std" localSheetId="13">[145]HB2!$A$1:$L$65536</definedName>
    <definedName name="std">[145]HB2!$A$1:$L$65536</definedName>
    <definedName name="stdpln">'[146]HB BARU'!$A$1:$J$780</definedName>
    <definedName name="stok" localSheetId="12">[131]DTstok!$A:$B</definedName>
    <definedName name="stok" localSheetId="13">[131]DTstok!$A$1:$B$65536</definedName>
    <definedName name="stok">[131]DTstok!$A$1:$B$65536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'[147]master rab'!$B:$H</definedName>
    <definedName name="sujono" localSheetId="13">'[147]master rab'!$B$1:$H$65536</definedName>
    <definedName name="sujono">'[147]master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[148]SuMBER!$N$3:$FO$21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'[36]AHS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[136]JAN07!#REF!</definedName>
    <definedName name="swed" localSheetId="7">[136]JAN07!#REF!</definedName>
    <definedName name="swed" localSheetId="12">[137]JAN07!#REF!</definedName>
    <definedName name="swed">[137]JAN07!#REF!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[116]TRANS!$I$3</definedName>
    <definedName name="TA" localSheetId="9">[116]TRANS!$I$3</definedName>
    <definedName name="TA">[117]TRANS!$I$3</definedName>
    <definedName name="Tabel" localSheetId="12">#N/A</definedName>
    <definedName name="Tabel" localSheetId="13">[58]CashFlow!$A$8:$J$37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[149]Sheet1!$E$2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'[38]Working Page'!$C$92:$AK$101</definedName>
    <definedName name="Table2">'[38]Working Page'!$C$114:$N$147</definedName>
    <definedName name="tah" localSheetId="11">[116]TRANS!$I$3</definedName>
    <definedName name="tah" localSheetId="9">[116]TRANS!$I$3</definedName>
    <definedName name="tah">[117]TRANS!$I$3</definedName>
    <definedName name="TAHUN" localSheetId="11">[116]TRANS!$I$3</definedName>
    <definedName name="TAHUN" localSheetId="9">[116]TRANS!$I$3</definedName>
    <definedName name="Tahun" localSheetId="12">[150]bantu!$M$5:$X$5</definedName>
    <definedName name="Tahun" localSheetId="13">[150]bantu!$M$5:$X$5</definedName>
    <definedName name="Tahun">[151]bantu!$M$5:$X$5</definedName>
    <definedName name="tahun_anggaran" localSheetId="11">[51]rkap2008!$B$83</definedName>
    <definedName name="tahun_anggaran" localSheetId="9">[51]rkap2008!$B$83</definedName>
    <definedName name="tahun_anggaran">[152]rkap2008!$B$83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[114]INPBA!$F$2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'[36]AHS - Personel'!$F$15</definedName>
    <definedName name="TechBulan">#N/A</definedName>
    <definedName name="TechHari" localSheetId="12">#N/A</definedName>
    <definedName name="TechHari" localSheetId="13">'[36]AHS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'[153]01 A'!$K$19</definedName>
    <definedName name="TextRefCopyRangeCount" hidden="1">1</definedName>
    <definedName name="TH">#REF!</definedName>
    <definedName name="TIARA" localSheetId="6">[35]JAN09!#REF!</definedName>
    <definedName name="TIARA" localSheetId="11">[35]JAN09!#REF!</definedName>
    <definedName name="TIARA" localSheetId="9">[35]JAN09!#REF!</definedName>
    <definedName name="TIARA" localSheetId="7">[35]JAN09!#REF!</definedName>
    <definedName name="TIARA" localSheetId="12">[35]JAN09!#REF!</definedName>
    <definedName name="TIARA">[35]JAN09!#REF!</definedName>
    <definedName name="Tiket" localSheetId="12">#N/A</definedName>
    <definedName name="Tiket" localSheetId="13">'[36]AHS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'[36]Analisa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[143]LAIN2!$Z$10</definedName>
    <definedName name="trp" localSheetId="11">[33]x!$B$9:$B$47</definedName>
    <definedName name="trp" localSheetId="9">[33]x!$B$9:$B$47</definedName>
    <definedName name="trp">[32]x!$B$9:$B$47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[154]tarif_baru!$B$8:$J$34</definedName>
    <definedName name="TV">[126]Valuation!$I$61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[86]Smg!$J$1:$J$968</definedName>
    <definedName name="UFRSMG" localSheetId="9">[86]Smg!$J$1:$J$968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[51]List!$A$2:$A$36</definedName>
    <definedName name="UnitAdm" localSheetId="9">[51]List!$A$2:$A$36</definedName>
    <definedName name="UnitAdm">[152]List!$A$2:$A$36</definedName>
    <definedName name="UnitBina" localSheetId="11">[155]Kamus!$L$1</definedName>
    <definedName name="UnitBina" localSheetId="9">[155]Kamus!$L$1</definedName>
    <definedName name="UnitBina">[45]Kamus!$L$1</definedName>
    <definedName name="UNITS" localSheetId="11">'[65]Harga BBM Indonesia'!$B$6:$D$6</definedName>
    <definedName name="UNITS" localSheetId="9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'[156]Rekap PMG.'!$A$54:$F$61</definedName>
    <definedName name="UPAH" localSheetId="9">'[156]Rekap PMG.'!$A$54:$F$61</definedName>
    <definedName name="UPAH">'[157]Rekap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[39]L20Keu!$O$10</definedName>
    <definedName name="USD" localSheetId="9">[39]L20Keu!$O$10</definedName>
    <definedName name="USD">[40]L20Keu!$O$10</definedName>
    <definedName name="usul" localSheetId="6">[158]Usulan!#REF!</definedName>
    <definedName name="usul" localSheetId="7">[158]Usulan!#REF!</definedName>
    <definedName name="usul" localSheetId="5">[158]Usulan!#REF!</definedName>
    <definedName name="usul" localSheetId="12">[158]Usulan!#REF!</definedName>
    <definedName name="usul">[158]Usulan!#REF!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>[37]JAN09!#REF!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[155]Kamus!$A$2:$A$29</definedName>
    <definedName name="WILAYAH" localSheetId="9">[155]Kamus!$A$2:$A$29</definedName>
    <definedName name="WILAYAH">[45]Kamus!$A$2:$A$29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[136]JAN07!#REF!</definedName>
    <definedName name="x" localSheetId="11" hidden="1">{#N/A,#N/A,FALSE,"M.42"}</definedName>
    <definedName name="x" localSheetId="9" hidden="1">{#N/A,#N/A,FALSE,"M.42"}</definedName>
    <definedName name="x" localSheetId="7">[136]JAN07!#REF!</definedName>
    <definedName name="x" localSheetId="12">[137]JAN07!#REF!</definedName>
    <definedName name="x">[137]JAN07!#REF!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[136]JAN07!#REF!</definedName>
    <definedName name="xs" localSheetId="7">[136]JAN07!#REF!</definedName>
    <definedName name="xs" localSheetId="5">[137]JAN07!#REF!</definedName>
    <definedName name="xs" localSheetId="12">[137]JAN07!#REF!</definedName>
    <definedName name="xs">[137]JAN07!#REF!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'[31]W-NAD'!#REF!</definedName>
    <definedName name="Y" localSheetId="9">'[31]W-NAD'!#REF!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'[159]master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'[160]Submission Form'!$A$4:$C$5,'[160]Submission Form'!$D$7,'[160]Submission Form'!$D$10:$D$11,'[160]Submission Form'!$D$17:$D$26,'[160]Submission Form'!$D$33</definedName>
    <definedName name="zone_saisie" localSheetId="9">'[160]Submission Form'!$A$4:$C$5,'[160]Submission Form'!$D$7,'[160]Submission Form'!$D$10:$D$11,'[160]Submission Form'!$D$17:$D$26,'[160]Submission Form'!$D$33</definedName>
    <definedName name="zone_saisie">('[161]Submission Form'!$A$4:$C$5,'[161]Submission Form'!$D$7,'[161]Submission Form'!$D$10:$D$11,'[161]Submission Form'!$D$17:$D$26,'[161]Submission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'[118]Hal-1'!$M$33:$M$33</definedName>
    <definedName name="zz_19" localSheetId="11">'[119]Hal-1'!$M$33:$M$33</definedName>
    <definedName name="zz_19" localSheetId="9">'[119]Hal-1'!$M$33:$M$33</definedName>
    <definedName name="zz_19">'[120]Hal-1'!$M$33:$M$33</definedName>
    <definedName name="zzz" localSheetId="11" hidden="1">{#N/A,#N/A,FALSE,"M.01"}</definedName>
    <definedName name="zzz" localSheetId="9" hidden="1">{#N/A,#N/A,FALSE,"M.01"}</definedName>
    <definedName name="zzz">[118]aruskas!$A$110:$T$180</definedName>
    <definedName name="zzz_19" localSheetId="11">[119]aruskas!$A$110:$T$180</definedName>
    <definedName name="zzz_19" localSheetId="9">[119]aruskas!$A$110:$T$180</definedName>
    <definedName name="zzz_19">[120]aruskas!$A$110:$T$180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2" i="11" l="1"/>
  <c r="F113" i="11" s="1"/>
  <c r="F129" i="11" s="1"/>
  <c r="F132" i="11"/>
  <c r="F131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30" i="11" s="1"/>
  <c r="D139" i="11"/>
  <c r="H139" i="11" s="1"/>
  <c r="E139" i="11"/>
  <c r="D140" i="11"/>
  <c r="E140" i="11"/>
  <c r="G141" i="11"/>
  <c r="E141" i="11"/>
  <c r="D141" i="11"/>
  <c r="I141" i="11" s="1"/>
  <c r="E138" i="11"/>
  <c r="D138" i="11"/>
  <c r="E137" i="11"/>
  <c r="D137" i="11"/>
  <c r="E136" i="11"/>
  <c r="D136" i="11"/>
  <c r="I139" i="11" l="1"/>
  <c r="I140" i="11"/>
  <c r="H140" i="11"/>
  <c r="H138" i="11"/>
  <c r="H137" i="11"/>
  <c r="I138" i="11"/>
  <c r="J141" i="11"/>
  <c r="I137" i="11"/>
  <c r="H141" i="11"/>
  <c r="H136" i="11"/>
  <c r="I136" i="11"/>
  <c r="K141" i="11" l="1"/>
  <c r="D45" i="11" l="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H69" i="11" s="1"/>
  <c r="D70" i="11"/>
  <c r="I70" i="11" s="1"/>
  <c r="D71" i="11"/>
  <c r="J71" i="11" s="1"/>
  <c r="D72" i="11"/>
  <c r="H72" i="11" s="1"/>
  <c r="D73" i="11"/>
  <c r="J73" i="11" s="1"/>
  <c r="D74" i="11"/>
  <c r="J74" i="11" s="1"/>
  <c r="D75" i="11"/>
  <c r="H75" i="11" s="1"/>
  <c r="D76" i="11"/>
  <c r="I76" i="11" s="1"/>
  <c r="D77" i="11"/>
  <c r="I77" i="11" s="1"/>
  <c r="D78" i="11"/>
  <c r="I78" i="11" s="1"/>
  <c r="D79" i="11"/>
  <c r="H79" i="11" s="1"/>
  <c r="D80" i="11"/>
  <c r="H80" i="11" s="1"/>
  <c r="D81" i="11"/>
  <c r="I81" i="11" s="1"/>
  <c r="D82" i="11"/>
  <c r="I82" i="11" s="1"/>
  <c r="D83" i="11"/>
  <c r="J83" i="11" s="1"/>
  <c r="D84" i="11"/>
  <c r="H84" i="11" s="1"/>
  <c r="D85" i="11"/>
  <c r="I85" i="11" s="1"/>
  <c r="D86" i="11"/>
  <c r="I86" i="11" s="1"/>
  <c r="D87" i="11"/>
  <c r="J87" i="11" s="1"/>
  <c r="D88" i="11"/>
  <c r="H88" i="11" s="1"/>
  <c r="D89" i="11"/>
  <c r="H89" i="11" s="1"/>
  <c r="D90" i="11"/>
  <c r="H90" i="11" s="1"/>
  <c r="D91" i="11"/>
  <c r="I91" i="11" s="1"/>
  <c r="D92" i="11"/>
  <c r="H92" i="11" s="1"/>
  <c r="D93" i="11"/>
  <c r="I93" i="11" s="1"/>
  <c r="D94" i="11"/>
  <c r="I94" i="11" s="1"/>
  <c r="D95" i="11"/>
  <c r="H95" i="11" s="1"/>
  <c r="D96" i="11"/>
  <c r="H96" i="11" s="1"/>
  <c r="D97" i="11"/>
  <c r="H97" i="11" s="1"/>
  <c r="D98" i="11"/>
  <c r="J98" i="11" s="1"/>
  <c r="D99" i="11"/>
  <c r="I99" i="11" s="1"/>
  <c r="D100" i="11"/>
  <c r="I100" i="11" s="1"/>
  <c r="D101" i="11"/>
  <c r="I101" i="11" s="1"/>
  <c r="D102" i="11"/>
  <c r="J102" i="11" s="1"/>
  <c r="D103" i="11"/>
  <c r="J103" i="11" s="1"/>
  <c r="D104" i="11"/>
  <c r="J104" i="11" s="1"/>
  <c r="D105" i="11"/>
  <c r="J105" i="11" s="1"/>
  <c r="D106" i="11"/>
  <c r="J106" i="11" s="1"/>
  <c r="D107" i="11"/>
  <c r="H107" i="11" s="1"/>
  <c r="D108" i="11"/>
  <c r="J108" i="11" s="1"/>
  <c r="D109" i="11"/>
  <c r="J109" i="11" s="1"/>
  <c r="D110" i="11"/>
  <c r="I110" i="11" s="1"/>
  <c r="D111" i="11"/>
  <c r="J111" i="11" s="1"/>
  <c r="D112" i="11"/>
  <c r="J112" i="11" s="1"/>
  <c r="D113" i="11"/>
  <c r="J113" i="11" s="1"/>
  <c r="D114" i="11"/>
  <c r="J114" i="11" s="1"/>
  <c r="D115" i="11"/>
  <c r="I115" i="11" s="1"/>
  <c r="D116" i="11"/>
  <c r="J116" i="11" s="1"/>
  <c r="J117" i="11"/>
  <c r="J118" i="11"/>
  <c r="D119" i="11"/>
  <c r="H119" i="11" s="1"/>
  <c r="D120" i="11"/>
  <c r="J120" i="11" s="1"/>
  <c r="D121" i="11"/>
  <c r="J121" i="11" s="1"/>
  <c r="D122" i="11"/>
  <c r="J122" i="11" s="1"/>
  <c r="D123" i="11"/>
  <c r="J123" i="11" s="1"/>
  <c r="D124" i="11"/>
  <c r="J124" i="11" s="1"/>
  <c r="D125" i="11"/>
  <c r="H125" i="11" s="1"/>
  <c r="D126" i="11"/>
  <c r="J126" i="11" s="1"/>
  <c r="D127" i="11"/>
  <c r="H127" i="11" s="1"/>
  <c r="D128" i="11"/>
  <c r="J128" i="11" s="1"/>
  <c r="D129" i="11"/>
  <c r="H129" i="11" s="1"/>
  <c r="D130" i="11"/>
  <c r="I130" i="11" s="1"/>
  <c r="J131" i="11"/>
  <c r="H132" i="11"/>
  <c r="D133" i="11"/>
  <c r="D134" i="11"/>
  <c r="D135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3" i="11"/>
  <c r="E134" i="11"/>
  <c r="E135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H131" i="11"/>
  <c r="G112" i="11"/>
  <c r="G111" i="11"/>
  <c r="G101" i="11"/>
  <c r="G100" i="11"/>
  <c r="G93" i="11"/>
  <c r="G92" i="11"/>
  <c r="G86" i="11"/>
  <c r="G85" i="11"/>
  <c r="G81" i="11"/>
  <c r="G80" i="11"/>
  <c r="G69" i="11"/>
  <c r="G68" i="11"/>
  <c r="J72" i="11" l="1"/>
  <c r="J76" i="11"/>
  <c r="H100" i="11"/>
  <c r="J69" i="11"/>
  <c r="H91" i="11"/>
  <c r="J127" i="11"/>
  <c r="I69" i="11"/>
  <c r="H85" i="11"/>
  <c r="I80" i="11"/>
  <c r="H104" i="11"/>
  <c r="H74" i="11"/>
  <c r="J70" i="11"/>
  <c r="J77" i="11"/>
  <c r="J93" i="11"/>
  <c r="H105" i="11"/>
  <c r="H73" i="11"/>
  <c r="J101" i="11"/>
  <c r="H113" i="11"/>
  <c r="H124" i="11"/>
  <c r="H110" i="11"/>
  <c r="J86" i="11"/>
  <c r="J89" i="11"/>
  <c r="J97" i="11"/>
  <c r="J125" i="11"/>
  <c r="J85" i="11"/>
  <c r="H93" i="11"/>
  <c r="H101" i="11"/>
  <c r="H121" i="11"/>
  <c r="I135" i="11"/>
  <c r="H135" i="11"/>
  <c r="H99" i="11"/>
  <c r="H103" i="11"/>
  <c r="I71" i="11"/>
  <c r="J75" i="11"/>
  <c r="J82" i="11"/>
  <c r="J115" i="11"/>
  <c r="J95" i="11"/>
  <c r="I98" i="11"/>
  <c r="I118" i="11"/>
  <c r="H86" i="11"/>
  <c r="I117" i="11"/>
  <c r="H122" i="11"/>
  <c r="I129" i="11"/>
  <c r="J78" i="11"/>
  <c r="J90" i="11"/>
  <c r="J94" i="11"/>
  <c r="H102" i="11"/>
  <c r="H106" i="11"/>
  <c r="H109" i="11"/>
  <c r="I114" i="11"/>
  <c r="H126" i="11"/>
  <c r="J107" i="11"/>
  <c r="H111" i="11"/>
  <c r="H117" i="11"/>
  <c r="J81" i="11"/>
  <c r="I79" i="11"/>
  <c r="H81" i="11"/>
  <c r="J119" i="11"/>
  <c r="H123" i="11"/>
  <c r="J88" i="11"/>
  <c r="J100" i="11"/>
  <c r="I111" i="11"/>
  <c r="H128" i="11"/>
  <c r="I84" i="11"/>
  <c r="I112" i="11"/>
  <c r="I132" i="11"/>
  <c r="I83" i="11"/>
  <c r="J96" i="11"/>
  <c r="H108" i="11"/>
  <c r="I131" i="11"/>
  <c r="K131" i="11" s="1"/>
  <c r="I92" i="11"/>
  <c r="H116" i="11"/>
  <c r="H130" i="11"/>
  <c r="J80" i="11"/>
  <c r="J92" i="11"/>
  <c r="H112" i="11"/>
  <c r="H118" i="11"/>
  <c r="K118" i="11" s="1"/>
  <c r="H120" i="11"/>
  <c r="J132" i="11"/>
  <c r="K80" i="11" l="1"/>
  <c r="K100" i="11"/>
  <c r="K69" i="11"/>
  <c r="K85" i="11"/>
  <c r="K101" i="11"/>
  <c r="K117" i="11"/>
  <c r="K111" i="11"/>
  <c r="K93" i="11"/>
  <c r="K86" i="11"/>
  <c r="K81" i="11"/>
  <c r="K132" i="11"/>
  <c r="K92" i="11"/>
  <c r="K112" i="11"/>
  <c r="F40" i="11" l="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H40" i="11"/>
  <c r="J39" i="11"/>
  <c r="H39" i="11"/>
  <c r="J38" i="11"/>
  <c r="H38" i="11"/>
  <c r="J37" i="11"/>
  <c r="H37" i="11"/>
  <c r="J36" i="11"/>
  <c r="H36" i="11"/>
  <c r="J35" i="11"/>
  <c r="H35" i="11"/>
  <c r="J34" i="11"/>
  <c r="H34" i="11"/>
  <c r="J33" i="11"/>
  <c r="J32" i="11"/>
  <c r="H32" i="11"/>
  <c r="J31" i="11"/>
  <c r="H31" i="11"/>
  <c r="J30" i="11"/>
  <c r="H30" i="11"/>
  <c r="J29" i="11"/>
  <c r="H29" i="11"/>
  <c r="J28" i="11"/>
  <c r="H28" i="11"/>
  <c r="J27" i="11"/>
  <c r="H27" i="11"/>
  <c r="J26" i="11"/>
  <c r="H26" i="11"/>
  <c r="J25" i="11"/>
  <c r="H25" i="11"/>
  <c r="J24" i="11"/>
  <c r="H24" i="11"/>
  <c r="J23" i="11"/>
  <c r="H23" i="11"/>
  <c r="J22" i="11"/>
  <c r="H22" i="11"/>
  <c r="J21" i="11"/>
  <c r="H21" i="11"/>
  <c r="J20" i="11"/>
  <c r="H20" i="11"/>
  <c r="J19" i="11"/>
  <c r="H19" i="11"/>
  <c r="J18" i="11"/>
  <c r="H18" i="11"/>
  <c r="J17" i="11"/>
  <c r="H17" i="11"/>
  <c r="J16" i="11"/>
  <c r="I16" i="11"/>
  <c r="H16" i="11"/>
  <c r="G16" i="11"/>
  <c r="I33" i="11" l="1"/>
  <c r="I40" i="11"/>
  <c r="K16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F66" i="11" l="1"/>
  <c r="F65" i="11"/>
  <c r="F64" i="11"/>
  <c r="F63" i="11"/>
  <c r="F60" i="11"/>
  <c r="F59" i="11"/>
  <c r="F58" i="11"/>
  <c r="F57" i="11"/>
  <c r="F54" i="11"/>
  <c r="F48" i="11"/>
  <c r="F47" i="11"/>
  <c r="F46" i="11"/>
  <c r="F45" i="11"/>
  <c r="F44" i="11"/>
  <c r="F43" i="11"/>
  <c r="F51" i="11" l="1"/>
  <c r="F52" i="11"/>
  <c r="F53" i="11"/>
  <c r="J51" i="11"/>
  <c r="A51" i="11"/>
  <c r="G50" i="11"/>
  <c r="J50" i="11"/>
  <c r="A50" i="11"/>
  <c r="G49" i="11"/>
  <c r="E49" i="11"/>
  <c r="J49" i="11"/>
  <c r="A48" i="11"/>
  <c r="A47" i="11"/>
  <c r="H46" i="11"/>
  <c r="A46" i="11"/>
  <c r="H45" i="11"/>
  <c r="D44" i="11"/>
  <c r="H44" i="11" s="1"/>
  <c r="A44" i="11"/>
  <c r="A43" i="11"/>
  <c r="G42" i="11"/>
  <c r="J42" i="11"/>
  <c r="A42" i="11"/>
  <c r="G61" i="11"/>
  <c r="J61" i="11"/>
  <c r="A61" i="11"/>
  <c r="A60" i="11"/>
  <c r="J59" i="11"/>
  <c r="J58" i="11"/>
  <c r="A58" i="11"/>
  <c r="H57" i="11"/>
  <c r="A57" i="11"/>
  <c r="G56" i="11"/>
  <c r="H56" i="11"/>
  <c r="A56" i="11"/>
  <c r="G55" i="11"/>
  <c r="J55" i="11"/>
  <c r="A54" i="11"/>
  <c r="A53" i="11"/>
  <c r="J52" i="11"/>
  <c r="A52" i="11"/>
  <c r="A66" i="11"/>
  <c r="J65" i="11"/>
  <c r="J64" i="11"/>
  <c r="A64" i="11"/>
  <c r="H63" i="11"/>
  <c r="A63" i="11"/>
  <c r="G62" i="11"/>
  <c r="J62" i="11"/>
  <c r="A62" i="11"/>
  <c r="A135" i="11"/>
  <c r="G134" i="11"/>
  <c r="J134" i="11"/>
  <c r="A134" i="11"/>
  <c r="G133" i="11"/>
  <c r="J133" i="11"/>
  <c r="A133" i="11"/>
  <c r="H68" i="11" l="1"/>
  <c r="I68" i="11"/>
  <c r="J68" i="11"/>
  <c r="J56" i="11"/>
  <c r="H50" i="11"/>
  <c r="I55" i="11"/>
  <c r="J47" i="11"/>
  <c r="J57" i="11"/>
  <c r="J46" i="11"/>
  <c r="I56" i="11"/>
  <c r="H49" i="11"/>
  <c r="I49" i="11"/>
  <c r="J53" i="11"/>
  <c r="H55" i="11"/>
  <c r="H48" i="11"/>
  <c r="H47" i="11"/>
  <c r="I48" i="11"/>
  <c r="I42" i="11"/>
  <c r="H58" i="11"/>
  <c r="J43" i="11"/>
  <c r="J63" i="11"/>
  <c r="J44" i="11"/>
  <c r="J45" i="11"/>
  <c r="H54" i="11"/>
  <c r="I50" i="11"/>
  <c r="H51" i="11"/>
  <c r="I54" i="11"/>
  <c r="H59" i="11"/>
  <c r="H42" i="11"/>
  <c r="H43" i="11"/>
  <c r="H60" i="11"/>
  <c r="I60" i="11"/>
  <c r="H61" i="11"/>
  <c r="H52" i="11"/>
  <c r="I61" i="11"/>
  <c r="H53" i="11"/>
  <c r="H62" i="11"/>
  <c r="H65" i="11"/>
  <c r="H64" i="11"/>
  <c r="H66" i="11"/>
  <c r="I66" i="11"/>
  <c r="I62" i="11"/>
  <c r="H133" i="11"/>
  <c r="I134" i="11"/>
  <c r="I133" i="11"/>
  <c r="H134" i="11"/>
  <c r="K68" i="11" l="1"/>
  <c r="K56" i="11"/>
  <c r="K55" i="11"/>
  <c r="K50" i="11"/>
  <c r="K42" i="11"/>
  <c r="K49" i="11"/>
  <c r="K62" i="11"/>
  <c r="K61" i="11"/>
  <c r="K134" i="11"/>
  <c r="K133" i="1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G34" i="11" s="1"/>
  <c r="I34" i="11" s="1"/>
  <c r="K34" i="11" s="1"/>
  <c r="H15" i="11"/>
  <c r="J15" i="11" l="1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G119" i="11" s="1"/>
  <c r="I119" i="11" s="1"/>
  <c r="K119" i="11" s="1"/>
  <c r="O306" i="10"/>
  <c r="P306" i="10" s="1"/>
  <c r="K306" i="10"/>
  <c r="J306" i="10"/>
  <c r="L306" i="10" s="1"/>
  <c r="I306" i="10"/>
  <c r="G97" i="11" s="1"/>
  <c r="I97" i="11" s="1"/>
  <c r="K97" i="11" s="1"/>
  <c r="O189" i="10"/>
  <c r="P189" i="10" s="1"/>
  <c r="K189" i="10"/>
  <c r="J189" i="10"/>
  <c r="I189" i="10"/>
  <c r="G87" i="11" s="1"/>
  <c r="H87" i="11" l="1"/>
  <c r="I87" i="11"/>
  <c r="N1052" i="10"/>
  <c r="N1048" i="10"/>
  <c r="N1045" i="10"/>
  <c r="N1047" i="10"/>
  <c r="N1046" i="10"/>
  <c r="K87" i="11" l="1"/>
  <c r="O233" i="10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143" i="11" l="1"/>
  <c r="I88" i="10"/>
  <c r="I92" i="10"/>
  <c r="I100" i="10"/>
  <c r="I104" i="10"/>
  <c r="G71" i="11" s="1"/>
  <c r="H71" i="11" s="1"/>
  <c r="K71" i="11" s="1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142" i="11"/>
  <c r="E142" i="11"/>
  <c r="D142" i="11"/>
  <c r="J142" i="11" s="1"/>
  <c r="E143" i="11"/>
  <c r="D144" i="11"/>
  <c r="H144" i="11" s="1"/>
  <c r="E144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L90" i="10" s="1"/>
  <c r="N90" i="10" s="1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P199" i="10" s="1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M229" i="10" s="1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M278" i="10" s="1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N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N670" i="10" s="1"/>
  <c r="K670" i="10"/>
  <c r="M670" i="10" s="1"/>
  <c r="O670" i="10"/>
  <c r="P670" i="10" s="1"/>
  <c r="J671" i="10"/>
  <c r="L671" i="10" s="1"/>
  <c r="N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N678" i="10" s="1"/>
  <c r="K678" i="10"/>
  <c r="M678" i="10" s="1"/>
  <c r="O678" i="10"/>
  <c r="P678" i="10" s="1"/>
  <c r="J679" i="10"/>
  <c r="L679" i="10" s="1"/>
  <c r="N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N686" i="10" s="1"/>
  <c r="K686" i="10"/>
  <c r="M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N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N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N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N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N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N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N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N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N782" i="10" s="1"/>
  <c r="K782" i="10"/>
  <c r="M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N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N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N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N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N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N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N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N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N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N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N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N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N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N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N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N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N1099" i="10" s="1"/>
  <c r="K1099" i="10"/>
  <c r="M1099" i="10" s="1"/>
  <c r="O1099" i="10"/>
  <c r="P1099" i="10" s="1"/>
  <c r="J1100" i="10"/>
  <c r="L1100" i="10" s="1"/>
  <c r="N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N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N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N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N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N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N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N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785" i="10"/>
  <c r="N981" i="10"/>
  <c r="N709" i="10"/>
  <c r="N977" i="10"/>
  <c r="N834" i="10"/>
  <c r="N733" i="10"/>
  <c r="N983" i="10"/>
  <c r="N973" i="10"/>
  <c r="N964" i="10"/>
  <c r="N761" i="10"/>
  <c r="N708" i="10"/>
  <c r="N968" i="10"/>
  <c r="N962" i="10"/>
  <c r="N873" i="10"/>
  <c r="N865" i="10"/>
  <c r="N848" i="10"/>
  <c r="N841" i="10"/>
  <c r="N825" i="10"/>
  <c r="N674" i="10"/>
  <c r="N773" i="10"/>
  <c r="N951" i="10"/>
  <c r="N1055" i="10"/>
  <c r="N1060" i="10"/>
  <c r="N823" i="10"/>
  <c r="N906" i="10"/>
  <c r="N890" i="10"/>
  <c r="N866" i="10"/>
  <c r="N850" i="10"/>
  <c r="N722" i="10"/>
  <c r="L208" i="10"/>
  <c r="P184" i="10"/>
  <c r="O7" i="10"/>
  <c r="P7" i="10" s="1"/>
  <c r="P188" i="10"/>
  <c r="G9" i="39"/>
  <c r="G6" i="39"/>
  <c r="C2" i="41"/>
  <c r="J7" i="10"/>
  <c r="L112" i="10"/>
  <c r="K7" i="10"/>
  <c r="M7" i="10" s="1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G37" i="11" s="1"/>
  <c r="I37" i="11" s="1"/>
  <c r="K37" i="11" s="1"/>
  <c r="I638" i="10"/>
  <c r="G35" i="11" s="1"/>
  <c r="I35" i="11" s="1"/>
  <c r="K35" i="11" s="1"/>
  <c r="I634" i="10"/>
  <c r="G23" i="11" s="1"/>
  <c r="I23" i="11" s="1"/>
  <c r="K23" i="11" s="1"/>
  <c r="I630" i="10"/>
  <c r="G19" i="11" s="1"/>
  <c r="I19" i="11" s="1"/>
  <c r="K19" i="11" s="1"/>
  <c r="I626" i="10"/>
  <c r="G28" i="11" s="1"/>
  <c r="I28" i="11" s="1"/>
  <c r="K28" i="11" s="1"/>
  <c r="I622" i="10"/>
  <c r="I618" i="10"/>
  <c r="G25" i="11" s="1"/>
  <c r="I25" i="11" s="1"/>
  <c r="K25" i="11" s="1"/>
  <c r="I614" i="10"/>
  <c r="I610" i="10"/>
  <c r="I606" i="10"/>
  <c r="I602" i="10"/>
  <c r="I598" i="10"/>
  <c r="G107" i="11" s="1"/>
  <c r="I107" i="11" s="1"/>
  <c r="K107" i="11" s="1"/>
  <c r="I595" i="10"/>
  <c r="I637" i="10"/>
  <c r="G32" i="11" s="1"/>
  <c r="I32" i="11" s="1"/>
  <c r="K32" i="11" s="1"/>
  <c r="I633" i="10"/>
  <c r="G20" i="11" s="1"/>
  <c r="I20" i="11" s="1"/>
  <c r="K20" i="11" s="1"/>
  <c r="I629" i="10"/>
  <c r="G18" i="11" s="1"/>
  <c r="I18" i="11" s="1"/>
  <c r="K18" i="11" s="1"/>
  <c r="I625" i="10"/>
  <c r="G27" i="11" s="1"/>
  <c r="I27" i="11" s="1"/>
  <c r="K27" i="11" s="1"/>
  <c r="I621" i="10"/>
  <c r="G30" i="11" s="1"/>
  <c r="I30" i="11" s="1"/>
  <c r="K30" i="11" s="1"/>
  <c r="I617" i="10"/>
  <c r="I613" i="10"/>
  <c r="I609" i="10"/>
  <c r="I605" i="10"/>
  <c r="I601" i="10"/>
  <c r="G125" i="11" s="1"/>
  <c r="I125" i="11" s="1"/>
  <c r="K125" i="11" s="1"/>
  <c r="I594" i="10"/>
  <c r="I593" i="10"/>
  <c r="I636" i="10"/>
  <c r="G24" i="11" s="1"/>
  <c r="I24" i="11" s="1"/>
  <c r="K24" i="11" s="1"/>
  <c r="I632" i="10"/>
  <c r="G21" i="11" s="1"/>
  <c r="I21" i="11" s="1"/>
  <c r="K21" i="11" s="1"/>
  <c r="I628" i="10"/>
  <c r="I624" i="10"/>
  <c r="G26" i="11" s="1"/>
  <c r="I26" i="11" s="1"/>
  <c r="K26" i="11" s="1"/>
  <c r="I620" i="10"/>
  <c r="I616" i="10"/>
  <c r="I612" i="10"/>
  <c r="I608" i="10"/>
  <c r="I604" i="10"/>
  <c r="G128" i="11" s="1"/>
  <c r="I128" i="11" s="1"/>
  <c r="K128" i="11" s="1"/>
  <c r="I600" i="10"/>
  <c r="I597" i="10"/>
  <c r="G127" i="11" s="1"/>
  <c r="I127" i="11" s="1"/>
  <c r="K127" i="11" s="1"/>
  <c r="I639" i="10"/>
  <c r="G36" i="11" s="1"/>
  <c r="I36" i="11" s="1"/>
  <c r="K36" i="11" s="1"/>
  <c r="I635" i="10"/>
  <c r="G17" i="11" s="1"/>
  <c r="I17" i="11" s="1"/>
  <c r="K17" i="11" s="1"/>
  <c r="I631" i="10"/>
  <c r="G22" i="11" s="1"/>
  <c r="I22" i="11" s="1"/>
  <c r="K22" i="11" s="1"/>
  <c r="I627" i="10"/>
  <c r="G29" i="11" s="1"/>
  <c r="I29" i="11" s="1"/>
  <c r="K29" i="11" s="1"/>
  <c r="I623" i="10"/>
  <c r="I619" i="10"/>
  <c r="I615" i="10"/>
  <c r="I611" i="10"/>
  <c r="I607" i="10"/>
  <c r="I603" i="10"/>
  <c r="G126" i="11" s="1"/>
  <c r="I126" i="11" s="1"/>
  <c r="K126" i="11" s="1"/>
  <c r="I599" i="10"/>
  <c r="I596" i="10"/>
  <c r="I820" i="10"/>
  <c r="I819" i="10"/>
  <c r="I816" i="10"/>
  <c r="I818" i="10"/>
  <c r="I821" i="10"/>
  <c r="I817" i="10"/>
  <c r="G40" i="11" s="1"/>
  <c r="J40" i="11" s="1"/>
  <c r="K40" i="11" s="1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G83" i="11" s="1"/>
  <c r="H83" i="11" s="1"/>
  <c r="K83" i="11" s="1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G138" i="11" s="1"/>
  <c r="J138" i="11" s="1"/>
  <c r="K138" i="11" s="1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144" i="11"/>
  <c r="I14" i="10"/>
  <c r="I29" i="10"/>
  <c r="I80" i="10"/>
  <c r="I96" i="10"/>
  <c r="I113" i="10"/>
  <c r="I132" i="10"/>
  <c r="I148" i="10"/>
  <c r="I161" i="10"/>
  <c r="I202" i="10"/>
  <c r="I256" i="10"/>
  <c r="G113" i="11" s="1"/>
  <c r="I113" i="11" s="1"/>
  <c r="K113" i="11" s="1"/>
  <c r="I272" i="10"/>
  <c r="I309" i="10"/>
  <c r="I325" i="10"/>
  <c r="I341" i="10"/>
  <c r="I357" i="10"/>
  <c r="I373" i="10"/>
  <c r="I389" i="10"/>
  <c r="G43" i="11" s="1"/>
  <c r="I43" i="11" s="1"/>
  <c r="K43" i="11" s="1"/>
  <c r="I406" i="10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G73" i="11" s="1"/>
  <c r="I73" i="11" s="1"/>
  <c r="K73" i="11" s="1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G139" i="11" s="1"/>
  <c r="J139" i="11" s="1"/>
  <c r="K139" i="11" s="1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G102" i="11" s="1"/>
  <c r="I102" i="11" s="1"/>
  <c r="K102" i="11" s="1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G140" i="11" s="1"/>
  <c r="J140" i="11" s="1"/>
  <c r="K140" i="11" s="1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G72" i="11" s="1"/>
  <c r="I72" i="11" s="1"/>
  <c r="K72" i="11" s="1"/>
  <c r="I37" i="10"/>
  <c r="I117" i="10"/>
  <c r="G82" i="11" s="1"/>
  <c r="H82" i="11" s="1"/>
  <c r="K82" i="11" s="1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G96" i="11" s="1"/>
  <c r="I96" i="11" s="1"/>
  <c r="K96" i="11" s="1"/>
  <c r="I431" i="10"/>
  <c r="I451" i="10"/>
  <c r="I475" i="10"/>
  <c r="I495" i="10"/>
  <c r="I515" i="10"/>
  <c r="I539" i="10"/>
  <c r="I560" i="10"/>
  <c r="G46" i="11" s="1"/>
  <c r="I46" i="11" s="1"/>
  <c r="K46" i="11" s="1"/>
  <c r="I580" i="10"/>
  <c r="I644" i="10"/>
  <c r="I664" i="10"/>
  <c r="I683" i="10"/>
  <c r="I707" i="10"/>
  <c r="I727" i="10"/>
  <c r="I747" i="10"/>
  <c r="I781" i="10"/>
  <c r="I801" i="10"/>
  <c r="I825" i="10"/>
  <c r="G66" i="11" s="1"/>
  <c r="J66" i="11" s="1"/>
  <c r="K66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G70" i="11" s="1"/>
  <c r="H70" i="11" s="1"/>
  <c r="K70" i="11" s="1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G104" i="11" s="1"/>
  <c r="I104" i="11" s="1"/>
  <c r="K104" i="11" s="1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54" i="11" s="1"/>
  <c r="J54" i="11" s="1"/>
  <c r="K54" i="11" s="1"/>
  <c r="I908" i="10"/>
  <c r="I984" i="10"/>
  <c r="I1061" i="10"/>
  <c r="I1128" i="10"/>
  <c r="I1192" i="10"/>
  <c r="I1265" i="10"/>
  <c r="I1339" i="10"/>
  <c r="I1397" i="10"/>
  <c r="I1413" i="10"/>
  <c r="G135" i="11" s="1"/>
  <c r="J135" i="11" s="1"/>
  <c r="K135" i="11" s="1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G76" i="11" s="1"/>
  <c r="H76" i="11" s="1"/>
  <c r="K76" i="11" s="1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G90" i="11" s="1"/>
  <c r="I90" i="11" s="1"/>
  <c r="K90" i="11" s="1"/>
  <c r="I402" i="10"/>
  <c r="I427" i="10"/>
  <c r="I447" i="10"/>
  <c r="G44" i="11" s="1"/>
  <c r="I44" i="11" s="1"/>
  <c r="K44" i="11" s="1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G130" i="11" s="1"/>
  <c r="J130" i="11" s="1"/>
  <c r="K130" i="11" s="1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78" i="11" s="1"/>
  <c r="H78" i="11" s="1"/>
  <c r="K78" i="11" s="1"/>
  <c r="I263" i="10"/>
  <c r="I292" i="10"/>
  <c r="G120" i="11" s="1"/>
  <c r="I120" i="11" s="1"/>
  <c r="K120" i="11" s="1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G38" i="11" s="1"/>
  <c r="I38" i="11" s="1"/>
  <c r="K38" i="11" s="1"/>
  <c r="I693" i="10"/>
  <c r="I746" i="10"/>
  <c r="I824" i="10"/>
  <c r="G60" i="11" s="1"/>
  <c r="J60" i="11" s="1"/>
  <c r="K60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G114" i="11" s="1"/>
  <c r="H114" i="11" s="1"/>
  <c r="K114" i="11" s="1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G53" i="11" s="1"/>
  <c r="I53" i="11" s="1"/>
  <c r="K53" i="11" s="1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G45" i="11" s="1"/>
  <c r="I45" i="11" s="1"/>
  <c r="K45" i="11" s="1"/>
  <c r="I239" i="10"/>
  <c r="I470" i="10"/>
  <c r="I579" i="10"/>
  <c r="I736" i="10"/>
  <c r="I867" i="10"/>
  <c r="G91" i="11" s="1"/>
  <c r="J91" i="11" s="1"/>
  <c r="K91" i="11" s="1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G77" i="11" s="1"/>
  <c r="H77" i="11" s="1"/>
  <c r="K77" i="11" s="1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G99" i="11" s="1"/>
  <c r="J99" i="11" s="1"/>
  <c r="K99" i="11" s="1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G75" i="11" s="1"/>
  <c r="I75" i="11" s="1"/>
  <c r="K75" i="11" s="1"/>
  <c r="I570" i="10"/>
  <c r="I663" i="10"/>
  <c r="I721" i="10"/>
  <c r="I790" i="10"/>
  <c r="I847" i="10"/>
  <c r="G48" i="11" s="1"/>
  <c r="J48" i="11" s="1"/>
  <c r="K48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G129" i="11" s="1"/>
  <c r="J129" i="11" s="1"/>
  <c r="K129" i="11" s="1"/>
  <c r="I1157" i="10"/>
  <c r="I1229" i="10"/>
  <c r="I1295" i="10"/>
  <c r="I23" i="10"/>
  <c r="I166" i="10"/>
  <c r="I261" i="10"/>
  <c r="I372" i="10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G89" i="11" s="1"/>
  <c r="I89" i="11" s="1"/>
  <c r="K89" i="11" s="1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G136" i="11" s="1"/>
  <c r="J136" i="11" s="1"/>
  <c r="K136" i="11" s="1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G52" i="11" s="1"/>
  <c r="I52" i="11" s="1"/>
  <c r="K52" i="11" s="1"/>
  <c r="I590" i="10"/>
  <c r="I681" i="10"/>
  <c r="I734" i="10"/>
  <c r="I823" i="10"/>
  <c r="G110" i="11" s="1"/>
  <c r="J110" i="11" s="1"/>
  <c r="K110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G137" i="11" s="1"/>
  <c r="J137" i="11" s="1"/>
  <c r="K137" i="11" s="1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G79" i="11" s="1"/>
  <c r="J79" i="11" s="1"/>
  <c r="K79" i="11" s="1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G51" i="11" s="1"/>
  <c r="I51" i="11" s="1"/>
  <c r="K51" i="11" s="1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G84" i="11" s="1"/>
  <c r="J84" i="11" s="1"/>
  <c r="K84" i="11" s="1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151" i="11"/>
  <c r="I1235" i="10"/>
  <c r="I1234" i="10"/>
  <c r="I9" i="10"/>
  <c r="P192" i="10"/>
  <c r="P190" i="10"/>
  <c r="P194" i="10"/>
  <c r="P193" i="10"/>
  <c r="P195" i="10"/>
  <c r="L108" i="10"/>
  <c r="L111" i="10"/>
  <c r="L204" i="10"/>
  <c r="L126" i="10"/>
  <c r="L201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N1095" i="10"/>
  <c r="N1026" i="10"/>
  <c r="N1018" i="10"/>
  <c r="L172" i="29"/>
  <c r="B171" i="29" s="1"/>
  <c r="L42" i="39"/>
  <c r="B41" i="39" s="1"/>
  <c r="L207" i="10"/>
  <c r="L252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1" i="10"/>
  <c r="M234" i="10"/>
  <c r="M232" i="10"/>
  <c r="M231" i="10"/>
  <c r="M1420" i="10"/>
  <c r="M1442" i="10"/>
  <c r="M146" i="10"/>
  <c r="M227" i="10"/>
  <c r="M144" i="10"/>
  <c r="M140" i="10"/>
  <c r="M248" i="10"/>
  <c r="M276" i="10"/>
  <c r="M198" i="10"/>
  <c r="M235" i="10"/>
  <c r="M193" i="10"/>
  <c r="M119" i="10"/>
  <c r="M1447" i="10"/>
  <c r="M118" i="10"/>
  <c r="M1428" i="10"/>
  <c r="P80" i="10"/>
  <c r="N1066" i="10"/>
  <c r="N1058" i="10"/>
  <c r="N1111" i="10"/>
  <c r="P13" i="10"/>
  <c r="G8" i="29"/>
  <c r="N1374" i="10"/>
  <c r="N1223" i="10"/>
  <c r="N1013" i="10"/>
  <c r="N1106" i="10"/>
  <c r="N986" i="10"/>
  <c r="N1214" i="10"/>
  <c r="N1190" i="10"/>
  <c r="N949" i="10"/>
  <c r="N933" i="10"/>
  <c r="N897" i="10"/>
  <c r="N877" i="10"/>
  <c r="N845" i="10"/>
  <c r="N829" i="10"/>
  <c r="N821" i="10"/>
  <c r="N781" i="10"/>
  <c r="N777" i="10"/>
  <c r="N769" i="10"/>
  <c r="N765" i="10"/>
  <c r="N757" i="10"/>
  <c r="N753" i="10"/>
  <c r="N745" i="10"/>
  <c r="N741" i="10"/>
  <c r="N737" i="10"/>
  <c r="N729" i="10"/>
  <c r="N725" i="10"/>
  <c r="N912" i="10"/>
  <c r="N860" i="10"/>
  <c r="N839" i="10"/>
  <c r="N940" i="10"/>
  <c r="N849" i="10"/>
  <c r="N705" i="10"/>
  <c r="N697" i="10"/>
  <c r="N693" i="10"/>
  <c r="N685" i="10"/>
  <c r="N681" i="10"/>
  <c r="N677" i="10"/>
  <c r="N673" i="10"/>
  <c r="N665" i="10"/>
  <c r="N661" i="10"/>
  <c r="N657" i="10"/>
  <c r="P203" i="10"/>
  <c r="L9" i="10"/>
  <c r="N1154" i="10"/>
  <c r="N1334" i="10"/>
  <c r="L86" i="10"/>
  <c r="N86" i="10" s="1"/>
  <c r="L45" i="10"/>
  <c r="N1226" i="10"/>
  <c r="N1159" i="10"/>
  <c r="N861" i="10"/>
  <c r="N1333" i="10"/>
  <c r="N1178" i="10"/>
  <c r="N1126" i="10"/>
  <c r="N1101" i="10"/>
  <c r="N1063" i="10"/>
  <c r="N913" i="10"/>
  <c r="N881" i="10"/>
  <c r="N837" i="10"/>
  <c r="N828" i="10"/>
  <c r="N1127" i="10"/>
  <c r="N1094" i="10"/>
  <c r="N957" i="10"/>
  <c r="N925" i="10"/>
  <c r="N893" i="10"/>
  <c r="N874" i="10"/>
  <c r="N853" i="10"/>
  <c r="N800" i="10"/>
  <c r="N784" i="10"/>
  <c r="N1118" i="10"/>
  <c r="N692" i="10"/>
  <c r="N672" i="10"/>
  <c r="N1021" i="10"/>
  <c r="N1000" i="10"/>
  <c r="N985" i="10"/>
  <c r="N969" i="10"/>
  <c r="N953" i="10"/>
  <c r="N937" i="10"/>
  <c r="N930" i="10"/>
  <c r="N914" i="10"/>
  <c r="N905" i="10"/>
  <c r="N882" i="10"/>
  <c r="N858" i="10"/>
  <c r="N842" i="10"/>
  <c r="N826" i="10"/>
  <c r="N810" i="10"/>
  <c r="N802" i="10"/>
  <c r="N794" i="10"/>
  <c r="N786" i="10"/>
  <c r="N778" i="10"/>
  <c r="N770" i="10"/>
  <c r="N762" i="10"/>
  <c r="N754" i="10"/>
  <c r="N746" i="10"/>
  <c r="N738" i="10"/>
  <c r="N730" i="10"/>
  <c r="N756" i="10"/>
  <c r="N724" i="10"/>
  <c r="N717" i="10"/>
  <c r="N706" i="10"/>
  <c r="N698" i="10"/>
  <c r="N682" i="10"/>
  <c r="N666" i="10"/>
  <c r="N658" i="10"/>
  <c r="N644" i="10"/>
  <c r="N1311" i="10"/>
  <c r="N1183" i="10"/>
  <c r="N1156" i="10"/>
  <c r="N1151" i="10"/>
  <c r="N1150" i="10"/>
  <c r="N1086" i="10"/>
  <c r="N1071" i="10"/>
  <c r="N1222" i="10"/>
  <c r="N1181" i="10"/>
  <c r="L209" i="10"/>
  <c r="L247" i="10"/>
  <c r="L261" i="10"/>
  <c r="L245" i="10"/>
  <c r="L93" i="10"/>
  <c r="N93" i="10" s="1"/>
  <c r="L181" i="10"/>
  <c r="L141" i="10"/>
  <c r="N141" i="10" s="1"/>
  <c r="N1422" i="10"/>
  <c r="N1287" i="10"/>
  <c r="N1238" i="10"/>
  <c r="N1143" i="10"/>
  <c r="N1079" i="10"/>
  <c r="N1308" i="10"/>
  <c r="N1231" i="10"/>
  <c r="N1186" i="10"/>
  <c r="N1078" i="10"/>
  <c r="N1255" i="10"/>
  <c r="N1175" i="10"/>
  <c r="N1174" i="10"/>
  <c r="N1130" i="10"/>
  <c r="N1049" i="10"/>
  <c r="P10" i="10"/>
  <c r="P202" i="10"/>
  <c r="M1469" i="10"/>
  <c r="M98" i="10"/>
  <c r="M616" i="10"/>
  <c r="N616" i="10" s="1"/>
  <c r="M183" i="10"/>
  <c r="M99" i="10"/>
  <c r="M649" i="10"/>
  <c r="N649" i="10" s="1"/>
  <c r="M106" i="10"/>
  <c r="N106" i="10" s="1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03" i="10"/>
  <c r="M369" i="10"/>
  <c r="M607" i="10"/>
  <c r="M108" i="10"/>
  <c r="M368" i="10"/>
  <c r="N368" i="10" s="1"/>
  <c r="M104" i="10"/>
  <c r="M97" i="10"/>
  <c r="M565" i="10"/>
  <c r="M147" i="10"/>
  <c r="M264" i="10"/>
  <c r="M250" i="10"/>
  <c r="M1468" i="10"/>
  <c r="N1468" i="10" s="1"/>
  <c r="M101" i="10"/>
  <c r="M107" i="10"/>
  <c r="N107" i="10" s="1"/>
  <c r="M566" i="10"/>
  <c r="N566" i="10" s="1"/>
  <c r="M1450" i="10"/>
  <c r="M249" i="10"/>
  <c r="M236" i="10"/>
  <c r="N903" i="10" l="1"/>
  <c r="N1173" i="10"/>
  <c r="N1008" i="10"/>
  <c r="N928" i="10"/>
  <c r="N920" i="10"/>
  <c r="N904" i="10"/>
  <c r="N896" i="10"/>
  <c r="N872" i="10"/>
  <c r="N840" i="10"/>
  <c r="N832" i="10"/>
  <c r="N824" i="10"/>
  <c r="N808" i="10"/>
  <c r="N776" i="10"/>
  <c r="N728" i="10"/>
  <c r="N688" i="10"/>
  <c r="N656" i="10"/>
  <c r="N608" i="10"/>
  <c r="N970" i="10"/>
  <c r="N1149" i="10"/>
  <c r="N954" i="10"/>
  <c r="N1007" i="10"/>
  <c r="N984" i="10"/>
  <c r="N976" i="10"/>
  <c r="N944" i="10"/>
  <c r="N880" i="10"/>
  <c r="N792" i="10"/>
  <c r="N736" i="10"/>
  <c r="N720" i="10"/>
  <c r="N704" i="10"/>
  <c r="N680" i="10"/>
  <c r="N199" i="10"/>
  <c r="G105" i="11"/>
  <c r="I105" i="11" s="1"/>
  <c r="K105" i="11" s="1"/>
  <c r="G64" i="11"/>
  <c r="I64" i="11" s="1"/>
  <c r="K64" i="11" s="1"/>
  <c r="G58" i="11"/>
  <c r="I58" i="11" s="1"/>
  <c r="K58" i="11" s="1"/>
  <c r="G116" i="11"/>
  <c r="I116" i="11" s="1"/>
  <c r="K116" i="11" s="1"/>
  <c r="G95" i="11"/>
  <c r="I95" i="11" s="1"/>
  <c r="K95" i="11" s="1"/>
  <c r="N1264" i="10"/>
  <c r="N1253" i="10"/>
  <c r="N1192" i="10"/>
  <c r="N1160" i="10"/>
  <c r="N1152" i="10"/>
  <c r="N1144" i="10"/>
  <c r="N1125" i="10"/>
  <c r="N1088" i="10"/>
  <c r="N1085" i="10"/>
  <c r="N1069" i="10"/>
  <c r="N1064" i="10"/>
  <c r="N1011" i="10"/>
  <c r="N1003" i="10"/>
  <c r="N987" i="10"/>
  <c r="N979" i="10"/>
  <c r="N971" i="10"/>
  <c r="N955" i="10"/>
  <c r="N939" i="10"/>
  <c r="N931" i="10"/>
  <c r="N923" i="10"/>
  <c r="N915" i="10"/>
  <c r="N907" i="10"/>
  <c r="N883" i="10"/>
  <c r="N859" i="10"/>
  <c r="N851" i="10"/>
  <c r="N843" i="10"/>
  <c r="N827" i="10"/>
  <c r="N811" i="10"/>
  <c r="N803" i="10"/>
  <c r="N795" i="10"/>
  <c r="N787" i="10"/>
  <c r="N779" i="10"/>
  <c r="N715" i="10"/>
  <c r="N707" i="10"/>
  <c r="N691" i="10"/>
  <c r="N667" i="10"/>
  <c r="N659" i="10"/>
  <c r="N643" i="10"/>
  <c r="L229" i="10"/>
  <c r="N229" i="10" s="1"/>
  <c r="L220" i="10"/>
  <c r="N220" i="10" s="1"/>
  <c r="L137" i="10"/>
  <c r="N137" i="10" s="1"/>
  <c r="L232" i="10"/>
  <c r="N232" i="10" s="1"/>
  <c r="L128" i="10"/>
  <c r="L70" i="10"/>
  <c r="N70" i="10" s="1"/>
  <c r="G115" i="11"/>
  <c r="H115" i="11" s="1"/>
  <c r="K115" i="11" s="1"/>
  <c r="G98" i="11"/>
  <c r="H98" i="11" s="1"/>
  <c r="K98" i="11" s="1"/>
  <c r="L146" i="10"/>
  <c r="G109" i="11"/>
  <c r="I109" i="11" s="1"/>
  <c r="K109" i="11" s="1"/>
  <c r="G122" i="11"/>
  <c r="I122" i="11" s="1"/>
  <c r="K122" i="11" s="1"/>
  <c r="N1087" i="10"/>
  <c r="N978" i="10"/>
  <c r="N938" i="10"/>
  <c r="N565" i="10"/>
  <c r="N1469" i="10"/>
  <c r="L120" i="10"/>
  <c r="N120" i="10" s="1"/>
  <c r="L31" i="10"/>
  <c r="N31" i="10" s="1"/>
  <c r="G94" i="11"/>
  <c r="H94" i="11" s="1"/>
  <c r="K94" i="11" s="1"/>
  <c r="G33" i="11"/>
  <c r="H33" i="11" s="1"/>
  <c r="K33" i="11" s="1"/>
  <c r="G106" i="11"/>
  <c r="I106" i="11" s="1"/>
  <c r="K106" i="11" s="1"/>
  <c r="G65" i="11"/>
  <c r="I65" i="11" s="1"/>
  <c r="K65" i="11" s="1"/>
  <c r="G59" i="11"/>
  <c r="I59" i="11" s="1"/>
  <c r="K59" i="11" s="1"/>
  <c r="G103" i="11"/>
  <c r="I103" i="11" s="1"/>
  <c r="K103" i="11" s="1"/>
  <c r="G63" i="11"/>
  <c r="I63" i="11" s="1"/>
  <c r="K63" i="11" s="1"/>
  <c r="G57" i="11"/>
  <c r="I57" i="11" s="1"/>
  <c r="K57" i="11" s="1"/>
  <c r="G121" i="11"/>
  <c r="I121" i="11" s="1"/>
  <c r="K121" i="11" s="1"/>
  <c r="G31" i="11"/>
  <c r="I31" i="11" s="1"/>
  <c r="K31" i="11" s="1"/>
  <c r="L135" i="10"/>
  <c r="N135" i="10" s="1"/>
  <c r="L80" i="10"/>
  <c r="N80" i="10" s="1"/>
  <c r="G124" i="11"/>
  <c r="I124" i="11" s="1"/>
  <c r="K124" i="11" s="1"/>
  <c r="G47" i="11"/>
  <c r="I47" i="11" s="1"/>
  <c r="K47" i="11" s="1"/>
  <c r="G123" i="11"/>
  <c r="I123" i="11" s="1"/>
  <c r="K123" i="11" s="1"/>
  <c r="G108" i="11"/>
  <c r="I108" i="11" s="1"/>
  <c r="K108" i="11" s="1"/>
  <c r="N1225" i="10"/>
  <c r="N1153" i="10"/>
  <c r="N1148" i="10"/>
  <c r="N1105" i="10"/>
  <c r="N1092" i="10"/>
  <c r="N1065" i="10"/>
  <c r="N1039" i="10"/>
  <c r="N1012" i="10"/>
  <c r="N1004" i="10"/>
  <c r="N996" i="10"/>
  <c r="N980" i="10"/>
  <c r="N972" i="10"/>
  <c r="N956" i="10"/>
  <c r="N932" i="10"/>
  <c r="N916" i="10"/>
  <c r="N900" i="10"/>
  <c r="N892" i="10"/>
  <c r="N852" i="10"/>
  <c r="N844" i="10"/>
  <c r="N836" i="10"/>
  <c r="N812" i="10"/>
  <c r="N796" i="10"/>
  <c r="N788" i="10"/>
  <c r="N780" i="10"/>
  <c r="N740" i="10"/>
  <c r="N676" i="10"/>
  <c r="N660" i="10"/>
  <c r="N322" i="10"/>
  <c r="L242" i="10"/>
  <c r="N122" i="10"/>
  <c r="L117" i="10"/>
  <c r="N117" i="10" s="1"/>
  <c r="L228" i="10"/>
  <c r="N228" i="10" s="1"/>
  <c r="G74" i="11"/>
  <c r="I74" i="11" s="1"/>
  <c r="K74" i="11" s="1"/>
  <c r="G88" i="11"/>
  <c r="I88" i="11" s="1"/>
  <c r="K88" i="11" s="1"/>
  <c r="G39" i="11"/>
  <c r="I39" i="11" s="1"/>
  <c r="K39" i="11" s="1"/>
  <c r="K14" i="29"/>
  <c r="L85" i="10"/>
  <c r="N85" i="10" s="1"/>
  <c r="L91" i="10"/>
  <c r="N91" i="10" s="1"/>
  <c r="L29" i="10"/>
  <c r="N29" i="10" s="1"/>
  <c r="K157" i="81"/>
  <c r="K160" i="81" s="1"/>
  <c r="K161" i="81" s="1"/>
  <c r="K162" i="81" s="1"/>
  <c r="J160" i="81"/>
  <c r="J161" i="81" s="1"/>
  <c r="J162" i="81" s="1"/>
  <c r="N1147" i="10"/>
  <c r="N1030" i="10"/>
  <c r="N974" i="10"/>
  <c r="N950" i="10"/>
  <c r="N902" i="10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G15" i="11"/>
  <c r="I15" i="11" s="1"/>
  <c r="K15" i="11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143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L183" i="10"/>
  <c r="N183" i="10" s="1"/>
  <c r="B31" i="54"/>
  <c r="B32" i="54"/>
  <c r="C9" i="54"/>
  <c r="D9" i="54" s="1"/>
  <c r="H142" i="11"/>
  <c r="I142" i="11"/>
  <c r="J36" i="39"/>
  <c r="I36" i="39"/>
  <c r="H36" i="39"/>
  <c r="J144" i="11"/>
  <c r="I144" i="11"/>
  <c r="B163" i="81" l="1"/>
  <c r="C227" i="29"/>
  <c r="D227" i="29" s="1"/>
  <c r="F227" i="29" s="1"/>
  <c r="C228" i="29"/>
  <c r="D228" i="29" s="1"/>
  <c r="E228" i="29" s="1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188" i="10" s="1"/>
  <c r="N188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142" i="11"/>
  <c r="K36" i="39"/>
  <c r="K144" i="11"/>
  <c r="F228" i="29"/>
  <c r="M582" i="10" l="1"/>
  <c r="N582" i="10" s="1"/>
  <c r="M189" i="10"/>
  <c r="N189" i="10" s="1"/>
  <c r="E227" i="29"/>
  <c r="L8" i="54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46" i="11"/>
  <c r="H147" i="11" s="1"/>
  <c r="I146" i="11"/>
  <c r="I147" i="11" s="1"/>
  <c r="F346" i="29"/>
  <c r="F334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353" i="29" l="1"/>
  <c r="F330" i="29"/>
  <c r="F354" i="29"/>
  <c r="F355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148" i="11"/>
  <c r="I148" i="11"/>
  <c r="F364" i="29"/>
  <c r="F69" i="39"/>
  <c r="F72" i="39"/>
  <c r="F367" i="29"/>
  <c r="J143" i="11"/>
  <c r="K143" i="11" s="1"/>
  <c r="K146" i="11" s="1"/>
  <c r="K14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146" i="11"/>
  <c r="J147" i="11" s="1"/>
  <c r="K148" i="11"/>
  <c r="B14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4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43" i="41" l="1"/>
  <c r="F820" i="41"/>
  <c r="F844" i="41"/>
  <c r="F845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7" i="54" l="1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<sst xmlns="http://schemas.openxmlformats.org/spreadsheetml/2006/main" count="5009" uniqueCount="1681">
  <si>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</si>
  <si>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</si>
  <si>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</si>
  <si>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</si>
  <si>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</si>
  <si>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</si>
  <si>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</si>
  <si>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</si>
  <si>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</si>
  <si>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</si>
  <si>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</si>
  <si>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</si>
  <si>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</si>
  <si>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</si>
  <si>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</si>
  <si>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</si>
  <si>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</si>
  <si>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</si>
  <si>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</si>
  <si>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</si>
  <si>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</si>
  <si>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</si>
  <si>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</si>
  <si>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</si>
  <si>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</si>
  <si>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</si>
  <si>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</si>
  <si>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</si>
  <si>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</si>
  <si>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</si>
  <si>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</si>
  <si>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</si>
  <si>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</si>
  <si>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</si>
  <si>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</si>
  <si>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</si>
  <si>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</si>
  <si>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</si>
  <si>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</si>
  <si>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</si>
  <si>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</si>
  <si>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</si>
  <si>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</si>
  <si>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</si>
  <si>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</si>
  <si>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</si>
  <si>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</si>
  <si>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</si>
  <si>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</si>
  <si>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</si>
  <si>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</si>
  <si>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</si>
  <si>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</si>
  <si>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</si>
  <si>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</si>
  <si>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</si>
  <si>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</si>
  <si>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</si>
  <si>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</si>
  <si>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</si>
  <si>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</si>
  <si>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</si>
  <si>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</si>
  <si>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</si>
  <si>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</si>
  <si>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</si>
  <si>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</si>
  <si>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</si>
  <si>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</si>
  <si>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</si>
  <si>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</si>
  <si>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</si>
  <si>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</si>
  <si>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</si>
  <si>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</si>
  <si>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</si>
  <si>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</si>
  <si>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</si>
  <si>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</si>
  <si>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</si>
  <si>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</si>
  <si>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</si>
  <si>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</si>
  <si>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</si>
  <si>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</si>
  <si>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</si>
  <si>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</si>
  <si>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</si>
  <si>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</si>
  <si>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</si>
  <si>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</si>
  <si>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</si>
  <si>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</si>
  <si>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</si>
  <si>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</si>
  <si>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</si>
  <si>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</si>
  <si>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</si>
  <si>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</si>
  <si>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</si>
  <si>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</si>
  <si>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</si>
  <si>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</si>
  <si>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</si>
  <si>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</si>
  <si>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</si>
  <si>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</si>
  <si>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</si>
  <si>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</si>
  <si>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</si>
  <si>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</si>
  <si>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</si>
  <si>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</si>
  <si>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</si>
  <si>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</si>
  <si>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</si>
  <si>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</si>
  <si>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</si>
  <si>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</si>
  <si>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</si>
  <si>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</si>
  <si>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</si>
  <si>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</si>
  <si>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</si>
  <si>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</si>
  <si>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</si>
  <si>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</si>
  <si>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</si>
  <si>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</si>
  <si>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</si>
  <si>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</si>
  <si>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</si>
  <si>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</si>
  <si>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</si>
  <si>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</si>
  <si>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</si>
  <si>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</si>
  <si>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</si>
  <si>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</si>
  <si>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</si>
  <si>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</si>
  <si>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</si>
  <si>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</si>
  <si>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</si>
  <si>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</si>
  <si>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</si>
  <si>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</si>
  <si>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</si>
  <si>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</si>
  <si>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</si>
  <si>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</si>
  <si>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</si>
  <si>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</si>
  <si>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</si>
  <si>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</si>
  <si>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</si>
  <si>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</si>
  <si>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</si>
  <si>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</si>
  <si>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</si>
  <si>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</si>
  <si>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</si>
  <si>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</si>
  <si>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</si>
  <si>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</si>
  <si>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</si>
  <si>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</si>
  <si>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</si>
  <si>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</si>
  <si>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</si>
  <si>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</si>
  <si>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</si>
  <si>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</si>
  <si>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</si>
  <si>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</si>
  <si>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</si>
  <si>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</si>
  <si>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</si>
  <si>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</si>
  <si>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</si>
  <si>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</si>
  <si>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</si>
  <si>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</si>
  <si>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</si>
  <si>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</si>
  <si>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</si>
  <si>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</si>
  <si>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</si>
  <si>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</si>
  <si>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</si>
  <si>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</si>
  <si>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</si>
  <si>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</si>
  <si>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</si>
  <si>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</si>
  <si>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</si>
  <si>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</si>
  <si>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</si>
  <si>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</si>
  <si>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</si>
  <si>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</si>
  <si>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</si>
  <si>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</si>
  <si>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</si>
  <si>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</si>
  <si>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</si>
  <si>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</si>
  <si>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</si>
  <si>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</si>
  <si>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</si>
  <si>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</si>
  <si>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</si>
  <si>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</si>
  <si>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</si>
  <si>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</si>
  <si>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</si>
  <si>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</si>
  <si>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</si>
  <si>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</si>
  <si>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</si>
  <si>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</si>
  <si>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</si>
  <si>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</si>
  <si>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</si>
  <si>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</si>
  <si>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</si>
  <si>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</si>
  <si>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</si>
  <si>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</si>
  <si>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</si>
  <si>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</si>
  <si>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</si>
  <si>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</si>
  <si>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</si>
  <si>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</si>
  <si>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</si>
  <si>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</si>
  <si>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</si>
  <si>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</si>
  <si>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</si>
  <si>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</si>
  <si>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</si>
  <si>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</si>
  <si>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</si>
  <si>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</si>
  <si>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</si>
  <si>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</si>
  <si>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</si>
  <si>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</si>
  <si>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</si>
  <si>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</si>
  <si>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</si>
  <si>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</si>
  <si>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</si>
  <si>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</si>
  <si>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</si>
  <si>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</si>
  <si>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</si>
  <si>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</si>
  <si>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</si>
  <si>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</si>
  <si>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</si>
  <si>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</si>
  <si>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</si>
  <si>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</si>
  <si>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</si>
  <si>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</si>
  <si>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</si>
  <si>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</si>
  <si>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</si>
  <si>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</si>
  <si>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</si>
  <si>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</si>
  <si>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</si>
  <si>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</si>
  <si>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</si>
  <si>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</si>
  <si>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</si>
  <si>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</si>
  <si>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</si>
  <si>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</si>
  <si>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</si>
  <si>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</si>
  <si>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</si>
  <si>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</si>
  <si>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</si>
  <si>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</si>
  <si>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</si>
  <si>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</si>
  <si>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</si>
  <si>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</si>
  <si>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</si>
  <si>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</si>
  <si>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</si>
  <si>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</si>
  <si>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</si>
  <si>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</si>
  <si>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</si>
  <si>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</si>
  <si>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</si>
  <si>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</si>
  <si>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</si>
  <si>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</si>
  <si>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</si>
  <si>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</si>
  <si>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</si>
  <si>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</si>
  <si>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</si>
  <si>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</si>
  <si>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</si>
  <si>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</si>
  <si>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</si>
  <si>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</si>
  <si>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</si>
  <si>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</si>
  <si>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</si>
  <si>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</si>
  <si>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</si>
  <si>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</si>
  <si>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</si>
  <si>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</si>
  <si>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</si>
  <si>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</si>
  <si>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</si>
  <si>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</si>
  <si>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</si>
  <si>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</si>
  <si>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</si>
  <si>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</si>
  <si>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</si>
  <si>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</si>
  <si>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</si>
  <si>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</si>
  <si>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</si>
  <si>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</si>
  <si>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</si>
  <si>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</si>
  <si>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</si>
  <si>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</si>
  <si>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</si>
  <si>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</si>
  <si>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</si>
  <si>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</si>
  <si>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</si>
  <si>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</si>
  <si>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</si>
  <si>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</si>
  <si>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</si>
  <si>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</si>
  <si>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</si>
  <si>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</si>
  <si>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</si>
  <si>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</si>
  <si>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</si>
  <si>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</si>
  <si>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</si>
  <si>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</si>
  <si>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</si>
  <si>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</si>
  <si>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</si>
  <si>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</si>
  <si>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</si>
  <si>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</si>
  <si>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</si>
  <si>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</si>
  <si>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</si>
  <si>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</si>
  <si>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</si>
  <si>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</si>
  <si>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</si>
  <si>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</si>
  <si>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</si>
  <si>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</si>
  <si>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</si>
  <si>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</si>
  <si>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</si>
  <si>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</si>
  <si>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</si>
  <si>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</si>
  <si>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</si>
  <si>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</si>
  <si>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</si>
  <si>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</si>
  <si>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</si>
  <si>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</si>
  <si>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</si>
  <si>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</si>
  <si>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</si>
  <si>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</si>
  <si>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</si>
  <si>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</si>
  <si>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</si>
  <si>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</si>
  <si>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</si>
  <si>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</si>
  <si>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</si>
  <si>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</si>
  <si>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</si>
  <si>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</si>
  <si>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</si>
  <si>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</si>
  <si>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</si>
  <si>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</si>
  <si>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</si>
  <si>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</si>
  <si>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</si>
  <si>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</si>
  <si>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</si>
  <si>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</si>
  <si>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</si>
  <si>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</si>
  <si>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</si>
  <si>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</si>
  <si>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</si>
  <si>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</si>
  <si>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</si>
  <si>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</si>
  <si>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</si>
  <si>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</si>
  <si>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</si>
  <si>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</si>
  <si>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</si>
  <si>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</si>
  <si>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</si>
  <si>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</si>
  <si>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</si>
  <si>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</si>
  <si>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</si>
  <si>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</si>
  <si>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</si>
  <si>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</si>
  <si>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</si>
  <si>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</si>
  <si>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</si>
  <si>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</si>
  <si>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</si>
  <si>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</si>
  <si>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</si>
  <si>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</si>
  <si>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</si>
  <si>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</si>
  <si>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</si>
  <si>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</si>
  <si>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</si>
  <si>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</si>
  <si>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</si>
  <si>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</si>
  <si>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</si>
  <si>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</si>
  <si>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</si>
  <si>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</si>
  <si>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</si>
  <si>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</si>
  <si>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</si>
  <si>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</si>
  <si>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</si>
  <si>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</si>
  <si>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</si>
  <si>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</si>
  <si>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</si>
  <si>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</si>
  <si>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</si>
  <si>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</si>
  <si>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</si>
  <si>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</si>
  <si>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</si>
  <si>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</si>
  <si>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</si>
  <si>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</si>
  <si>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</si>
  <si>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</si>
  <si>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</si>
  <si>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</si>
  <si>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</si>
  <si>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</si>
  <si>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</si>
  <si>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</si>
  <si>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</si>
  <si>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</si>
  <si>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</si>
  <si>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</si>
  <si>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</si>
  <si>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</si>
  <si>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</si>
  <si>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</si>
  <si>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</si>
  <si>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</si>
  <si>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</si>
  <si>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</si>
  <si>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</si>
  <si>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</si>
  <si>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</si>
  <si>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</si>
  <si>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</si>
  <si>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</si>
  <si>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</si>
  <si>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</si>
  <si>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</si>
  <si>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</si>
  <si>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</si>
  <si>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</si>
  <si>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</si>
  <si>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</si>
  <si>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</si>
  <si>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</si>
  <si>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</si>
  <si>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</si>
  <si>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</si>
  <si>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</si>
  <si>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</si>
  <si>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</si>
  <si>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</si>
  <si>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</si>
  <si>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</si>
  <si>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</si>
  <si>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</si>
  <si>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</si>
  <si>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</si>
  <si>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</si>
  <si>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</si>
  <si>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</si>
  <si>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</si>
  <si>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</si>
  <si>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</si>
  <si>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</si>
  <si>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</si>
  <si>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</si>
  <si>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</si>
  <si>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</si>
  <si>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</si>
  <si>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</si>
  <si>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</si>
  <si>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</si>
  <si>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</si>
  <si>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</si>
  <si>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</si>
  <si>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</si>
  <si>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</si>
  <si>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</si>
  <si>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</si>
  <si>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</si>
  <si>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</si>
  <si>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</si>
  <si>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</si>
  <si>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</si>
  <si>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</si>
  <si>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</si>
  <si>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</si>
  <si>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</si>
  <si>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</si>
  <si>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</si>
  <si>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</si>
  <si>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</si>
  <si>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</si>
  <si>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</si>
  <si>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</si>
  <si>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</si>
  <si>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</si>
  <si>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</si>
  <si>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</si>
  <si>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</si>
  <si>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</si>
  <si>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</si>
  <si>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</si>
  <si>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</si>
  <si>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</si>
  <si>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</si>
  <si>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</si>
  <si>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</si>
  <si>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</si>
  <si>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</si>
  <si>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</si>
  <si>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</si>
  <si>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</si>
  <si>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</si>
  <si>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</si>
  <si>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</si>
  <si>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</si>
  <si>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</si>
  <si>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</si>
  <si>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</si>
  <si>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</si>
  <si>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</si>
  <si>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</si>
  <si>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</si>
  <si>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</si>
  <si>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</si>
  <si>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</si>
  <si>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</si>
  <si>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</si>
  <si>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</si>
  <si>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</si>
  <si>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</si>
  <si>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</si>
  <si>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</si>
  <si>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</si>
  <si>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</si>
  <si>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</si>
  <si>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</si>
  <si>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</si>
  <si>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</si>
  <si>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</si>
  <si>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</si>
  <si>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</si>
  <si>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</si>
  <si>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</si>
  <si>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</si>
  <si>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</si>
  <si>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</si>
  <si>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</si>
  <si>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</si>
  <si>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</si>
  <si>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</si>
  <si>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</si>
  <si>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</si>
  <si>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</si>
  <si>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</si>
  <si>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</si>
  <si>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</si>
  <si>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</si>
  <si>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</si>
  <si>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</si>
  <si>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</si>
  <si>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</si>
  <si>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</si>
  <si>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</si>
  <si>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</si>
  <si>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</si>
  <si>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</si>
  <si>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</si>
  <si>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</si>
  <si>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</si>
  <si>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</si>
  <si>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</si>
  <si>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</si>
  <si>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</si>
  <si>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</si>
  <si>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</si>
  <si>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</si>
  <si>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</si>
  <si>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</si>
  <si>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</si>
  <si>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</si>
  <si>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</si>
  <si>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</si>
  <si>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</si>
  <si>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</si>
  <si>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</si>
  <si>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</si>
  <si>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</si>
  <si>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</si>
  <si>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</si>
  <si>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</si>
  <si>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</si>
  <si>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</si>
  <si>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</si>
  <si>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</si>
  <si>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</si>
  <si>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</si>
  <si>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</si>
  <si>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</si>
  <si>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</si>
  <si>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</si>
  <si>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</si>
  <si>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</si>
  <si>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</si>
  <si>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</si>
  <si>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</si>
  <si>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</si>
  <si>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</si>
  <si>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</si>
  <si>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</si>
  <si>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</si>
  <si>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</si>
  <si>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</si>
  <si>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</si>
  <si>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</si>
  <si>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</si>
  <si>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</si>
  <si>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</si>
  <si>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</si>
  <si>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</si>
  <si>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</si>
  <si>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</si>
  <si>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</si>
  <si>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</si>
  <si>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</si>
  <si>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</si>
  <si>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</si>
  <si>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</si>
  <si>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</si>
  <si>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</si>
  <si>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</si>
  <si>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</si>
  <si>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</si>
  <si>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</si>
  <si>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</si>
  <si>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</si>
  <si>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</si>
  <si>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</si>
  <si>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</si>
  <si>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</si>
  <si>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</si>
  <si>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</si>
  <si>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</si>
  <si>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</si>
  <si>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</si>
  <si>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</si>
  <si>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</si>
  <si>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</si>
  <si>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</si>
  <si>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</si>
  <si>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</si>
  <si>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</si>
  <si>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</si>
  <si>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</si>
  <si>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</si>
  <si>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</si>
  <si>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</si>
  <si>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</si>
  <si>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</si>
  <si>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</si>
  <si>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</si>
  <si>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</si>
  <si>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</si>
  <si>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</si>
  <si>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</si>
  <si>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</si>
  <si>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</si>
  <si>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</si>
  <si>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</si>
  <si>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</si>
  <si>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</si>
  <si>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</si>
  <si>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</si>
  <si>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</si>
  <si>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</si>
  <si>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</si>
  <si>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</si>
  <si>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</si>
  <si>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</si>
  <si>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</si>
  <si>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</si>
  <si>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</si>
  <si>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</si>
  <si>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</si>
  <si>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</si>
  <si>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</si>
  <si>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</si>
  <si>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</si>
  <si>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</si>
  <si>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</si>
  <si>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</si>
  <si>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</si>
  <si>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</si>
  <si>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</si>
  <si>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</si>
  <si>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</si>
  <si>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</si>
  <si>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</si>
  <si>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</si>
  <si>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</si>
  <si>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</si>
  <si>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</si>
  <si>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</si>
  <si>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</si>
  <si>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</si>
  <si>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</si>
  <si>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</si>
  <si>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</si>
  <si>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</si>
  <si>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</si>
  <si>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</si>
  <si>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</si>
  <si>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</si>
  <si>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</si>
  <si>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</si>
  <si>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</si>
  <si>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</si>
  <si>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</si>
  <si>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</si>
  <si>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</si>
  <si>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</si>
  <si>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</si>
  <si>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</si>
  <si>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</si>
  <si>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</si>
  <si>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</si>
  <si>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</si>
  <si>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</si>
  <si>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</si>
  <si>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</si>
  <si>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</si>
  <si>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</si>
  <si>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</si>
  <si>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</si>
  <si>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</si>
  <si>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</si>
  <si>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</si>
  <si>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</si>
  <si>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</si>
  <si>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</si>
  <si>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</si>
  <si>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</si>
  <si>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</si>
  <si>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</si>
  <si>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</si>
  <si>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</si>
  <si>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</si>
  <si>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</si>
  <si>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</si>
  <si>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</si>
  <si>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</si>
  <si>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</si>
  <si>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</si>
  <si>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</si>
  <si>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</si>
  <si>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</si>
  <si>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</si>
  <si>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</si>
  <si>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</si>
  <si>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</si>
  <si>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</si>
  <si>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</si>
  <si>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</si>
  <si>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</si>
  <si>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</si>
  <si>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</si>
  <si>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</si>
  <si>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</si>
  <si>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</si>
  <si>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</si>
  <si>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</si>
  <si>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</si>
  <si>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</si>
  <si>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</si>
  <si>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</si>
  <si>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</si>
  <si>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</si>
  <si>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</si>
  <si>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</si>
  <si>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</si>
  <si>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</si>
  <si>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</si>
  <si>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</si>
  <si>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</si>
  <si>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</si>
  <si>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</si>
  <si>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</si>
  <si>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</si>
  <si>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</si>
  <si>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</si>
  <si>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</si>
  <si>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</si>
  <si>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</si>
  <si>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</si>
  <si>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</si>
  <si>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</si>
  <si>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</si>
  <si>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</si>
  <si>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</si>
  <si>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</si>
  <si>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</si>
  <si>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</si>
  <si>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</si>
  <si>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</si>
  <si>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</si>
  <si>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</si>
  <si>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</si>
  <si>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</si>
  <si>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</si>
  <si>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</si>
  <si>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</si>
  <si>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</si>
  <si>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</si>
  <si>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</si>
  <si>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</si>
  <si>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</si>
  <si>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</si>
  <si>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</si>
  <si>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</si>
  <si>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</si>
  <si>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</si>
  <si>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</si>
  <si>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</si>
  <si>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</si>
  <si>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</si>
  <si>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</si>
  <si>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</si>
  <si>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</si>
  <si>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</si>
  <si>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</si>
  <si>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</si>
  <si>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</si>
  <si>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</si>
  <si>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</si>
  <si>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</si>
  <si>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</si>
  <si>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</si>
  <si>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</si>
  <si>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</si>
  <si>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</si>
  <si>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</si>
  <si>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</si>
  <si>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</si>
  <si>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</si>
  <si>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</si>
  <si>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</si>
  <si>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</si>
  <si>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</si>
  <si>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</si>
  <si>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</si>
  <si>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</si>
  <si>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</si>
  <si>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</si>
  <si>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</si>
  <si>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</si>
  <si>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</si>
  <si>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</si>
  <si>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</si>
  <si>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</si>
  <si>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</si>
  <si>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</si>
  <si>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</si>
  <si>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</si>
  <si>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</si>
  <si>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</si>
  <si>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</si>
  <si>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</si>
  <si>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</si>
  <si>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</si>
  <si>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</si>
  <si>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</si>
  <si>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</si>
  <si>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</si>
  <si>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</si>
  <si>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</si>
  <si>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</si>
  <si>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</si>
  <si>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</si>
  <si>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</si>
  <si>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</si>
  <si>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</si>
  <si>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</si>
  <si>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</si>
  <si>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</si>
  <si>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</si>
  <si>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</si>
  <si>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</si>
  <si>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</si>
  <si>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</si>
  <si>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</si>
  <si>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</si>
  <si>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</si>
  <si>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</si>
  <si>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</si>
  <si>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</si>
  <si>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</si>
  <si>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</si>
  <si>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</si>
  <si>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</si>
  <si>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</si>
  <si>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</si>
  <si>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</si>
  <si>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</si>
  <si>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</si>
  <si>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</si>
  <si>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</si>
  <si>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</si>
  <si>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</si>
  <si>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</si>
  <si>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</si>
  <si>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</si>
  <si>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</si>
  <si>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</si>
  <si>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</si>
  <si>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</si>
  <si>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</si>
  <si>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</si>
  <si>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</si>
  <si>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</si>
  <si>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</si>
  <si>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</si>
  <si>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</si>
  <si>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</si>
  <si>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</si>
  <si>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</si>
  <si>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</si>
  <si>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</si>
  <si>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</si>
  <si>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</si>
  <si>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</si>
  <si>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</si>
  <si>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</si>
  <si>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</si>
  <si>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</si>
  <si>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</si>
  <si>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</si>
  <si>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</si>
  <si>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</si>
  <si>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</si>
  <si>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</si>
  <si>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</si>
  <si>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</si>
  <si>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</si>
  <si>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</si>
  <si>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</si>
  <si>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</si>
  <si>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</si>
  <si>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</si>
  <si>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</si>
  <si>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</si>
  <si>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</si>
  <si>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</si>
  <si>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</si>
  <si>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</si>
  <si>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</si>
  <si>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</si>
  <si>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</si>
  <si>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</si>
  <si>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</si>
  <si>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</si>
  <si>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</si>
  <si>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</si>
  <si>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</si>
  <si>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</si>
  <si>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</si>
  <si>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</si>
  <si>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</si>
  <si>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</si>
  <si>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</si>
  <si>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</si>
  <si>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</si>
  <si>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</si>
  <si>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</si>
  <si>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</si>
  <si>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</si>
  <si>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</si>
  <si>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</si>
  <si>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</si>
  <si>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</si>
  <si>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</si>
  <si>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</si>
  <si>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</si>
  <si>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</si>
  <si>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</si>
  <si>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</si>
  <si>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</si>
  <si>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</si>
  <si>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</si>
  <si>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</si>
  <si>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</si>
  <si>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</si>
  <si>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</si>
  <si>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</si>
  <si>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</si>
  <si>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</si>
  <si>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</si>
  <si>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</si>
  <si>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</si>
  <si>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</si>
  <si>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</si>
  <si>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</si>
  <si>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</si>
  <si>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</si>
  <si>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</si>
  <si>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</si>
  <si>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</si>
  <si>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</si>
  <si>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</si>
  <si>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</si>
  <si>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</si>
  <si>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</si>
  <si>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</si>
  <si>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</si>
  <si>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</si>
  <si>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</si>
  <si>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</si>
  <si>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</si>
  <si>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</si>
  <si>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</si>
  <si>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</si>
  <si>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</si>
  <si>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</si>
  <si>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</si>
  <si>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</si>
  <si>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</si>
  <si>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</si>
  <si>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</si>
  <si>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</si>
  <si>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</si>
  <si>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</si>
  <si>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</si>
  <si>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</si>
  <si>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</si>
  <si>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</si>
  <si>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</si>
  <si>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</si>
  <si>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</si>
  <si>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</si>
  <si>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</si>
  <si>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</si>
  <si>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</si>
  <si>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</si>
  <si>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</si>
  <si>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</si>
  <si>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</si>
  <si>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</si>
  <si>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</si>
  <si>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</si>
  <si>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</si>
  <si>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</si>
  <si>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</si>
  <si>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</si>
  <si>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</si>
  <si>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</si>
  <si>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</si>
  <si>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</si>
  <si>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</si>
  <si>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</si>
  <si>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</si>
  <si>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</si>
  <si>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</si>
  <si>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</si>
  <si>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</si>
  <si>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</si>
  <si>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</si>
  <si>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</si>
  <si>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</si>
  <si>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</si>
  <si>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</si>
  <si>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</si>
  <si>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</si>
  <si>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</si>
  <si>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</si>
  <si>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</si>
  <si>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</si>
  <si>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</si>
  <si>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</si>
  <si>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</si>
  <si>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</si>
  <si>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</si>
  <si>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</si>
  <si>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</si>
  <si>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</si>
  <si>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</si>
  <si>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</si>
  <si>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</si>
  <si>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</si>
  <si>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</si>
  <si>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</si>
  <si>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</si>
  <si>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</si>
  <si>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</si>
  <si>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</si>
  <si>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</si>
  <si>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</si>
  <si>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</si>
  <si>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</si>
  <si>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</si>
  <si>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</si>
  <si>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</si>
  <si>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</si>
  <si>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</si>
  <si>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</si>
  <si>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</si>
  <si>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</si>
  <si>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</si>
  <si>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</si>
  <si>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</si>
  <si>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</si>
  <si>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</si>
  <si>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</si>
  <si>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</si>
  <si>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</si>
  <si>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</si>
  <si>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</si>
  <si>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</si>
  <si>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</si>
  <si>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</si>
  <si>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</si>
  <si>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</si>
  <si>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</si>
  <si>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</si>
  <si>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</si>
  <si>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</si>
  <si>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</si>
  <si>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</si>
  <si>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</si>
  <si>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</si>
  <si>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</si>
  <si>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</si>
  <si>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</si>
  <si>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</si>
  <si>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</si>
  <si>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</si>
  <si>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</si>
  <si>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</si>
  <si>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</si>
  <si>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</si>
  <si>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</si>
  <si>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</si>
  <si>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</si>
  <si>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</si>
  <si>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</si>
  <si>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</si>
  <si>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</si>
  <si>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</si>
  <si>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</si>
  <si>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</si>
  <si>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</si>
  <si>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</si>
  <si>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</si>
  <si>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</si>
  <si>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</si>
  <si>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</si>
  <si>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</si>
  <si>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</si>
  <si>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</si>
  <si>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</si>
  <si>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</si>
  <si>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</si>
  <si>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</si>
  <si>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</si>
  <si>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</si>
  <si>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</si>
  <si>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</si>
  <si>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</si>
  <si>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</si>
  <si>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</si>
  <si>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</si>
  <si>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</si>
  <si>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</si>
  <si>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</si>
  <si>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</si>
  <si>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</si>
  <si>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</si>
  <si>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</si>
  <si>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</si>
  <si>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</si>
  <si>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</si>
  <si>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</si>
  <si>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</si>
  <si>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</si>
  <si>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</si>
  <si>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</si>
  <si>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</si>
  <si>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</si>
  <si>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</si>
  <si>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</si>
  <si>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</si>
  <si>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</si>
  <si>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</si>
  <si>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</si>
  <si>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</si>
  <si>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</si>
  <si>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</si>
  <si>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</si>
  <si>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</si>
  <si>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</si>
  <si>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</si>
  <si>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</si>
  <si>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</si>
  <si>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</si>
  <si>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</si>
  <si>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</si>
  <si>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</si>
  <si>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</si>
  <si>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</si>
  <si>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</si>
  <si>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</si>
  <si>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</si>
  <si>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</si>
  <si>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</si>
  <si>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</si>
  <si>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</si>
  <si>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</si>
  <si>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</si>
  <si>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</si>
  <si>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</si>
  <si>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</si>
  <si>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</si>
  <si>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</si>
  <si>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</si>
  <si>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</si>
  <si>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</si>
  <si>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</si>
  <si>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</si>
  <si>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</si>
  <si>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</si>
  <si>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</si>
  <si>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</si>
  <si>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</si>
  <si>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</si>
  <si>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</si>
  <si>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</si>
  <si>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</si>
  <si>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</si>
  <si>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</si>
  <si>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</si>
  <si>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</si>
  <si>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</si>
  <si>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</si>
  <si>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</si>
  <si>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</si>
  <si>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</si>
  <si>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</si>
  <si>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</si>
  <si>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</si>
  <si>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</si>
  <si>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</si>
  <si>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</si>
  <si>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</si>
  <si>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</si>
  <si>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</si>
  <si>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</si>
  <si>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</si>
  <si>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</si>
  <si>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</si>
  <si>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</si>
  <si>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</si>
  <si>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</si>
  <si>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</si>
  <si>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</si>
  <si>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</si>
  <si>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</si>
  <si>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</si>
  <si>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</si>
  <si>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</si>
  <si>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</si>
  <si>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</si>
  <si>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</si>
  <si>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</si>
  <si>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</si>
  <si>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</si>
  <si>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</si>
  <si>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</si>
  <si>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</si>
  <si>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</si>
  <si>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</si>
  <si>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</si>
  <si>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</si>
  <si>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</si>
  <si>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</si>
  <si>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</si>
  <si>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</si>
  <si>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</si>
  <si>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</si>
  <si>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</si>
  <si>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</si>
  <si>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</si>
  <si>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</si>
  <si>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</si>
  <si>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</si>
  <si>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</si>
  <si>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</si>
  <si>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</si>
  <si>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</si>
  <si>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</si>
  <si>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</si>
  <si>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</si>
  <si>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</si>
  <si>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</si>
  <si>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</si>
  <si>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</si>
  <si>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</si>
  <si>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</si>
  <si>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</si>
  <si>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</si>
  <si>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</si>
  <si>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</si>
  <si>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</si>
  <si>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</si>
  <si>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</si>
  <si>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</si>
  <si>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</si>
  <si>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</si>
  <si>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</si>
  <si>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</si>
  <si>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</si>
  <si>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</si>
  <si>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</si>
  <si>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</si>
  <si>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</si>
  <si>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</si>
  <si>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</si>
  <si>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</si>
  <si>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</si>
  <si>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</si>
  <si>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</si>
  <si>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</si>
  <si>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</si>
  <si>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</si>
  <si>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</si>
  <si>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</si>
  <si>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</si>
  <si>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</si>
  <si>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</si>
  <si>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</si>
  <si>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</si>
  <si>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</si>
  <si>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</si>
  <si>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</si>
  <si>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</si>
  <si>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</si>
  <si>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</si>
  <si>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</si>
  <si>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</si>
  <si>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</si>
  <si>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</si>
  <si>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</si>
  <si>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</si>
  <si>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</si>
  <si>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</si>
  <si>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</si>
  <si>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</si>
  <si>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</si>
  <si>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</si>
  <si>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</si>
  <si>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</si>
  <si>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</si>
  <si>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</si>
  <si>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</si>
  <si>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</si>
  <si>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</si>
  <si>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</si>
  <si>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</si>
  <si>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</si>
  <si>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</si>
  <si>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</si>
  <si>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</si>
  <si>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</si>
  <si>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</si>
  <si>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</si>
  <si>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</si>
  <si>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</si>
  <si>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</si>
  <si>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</si>
  <si>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</si>
  <si>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</si>
  <si>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</si>
  <si>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</si>
  <si>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</si>
  <si>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</si>
  <si>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</si>
  <si>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</si>
  <si>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</si>
  <si>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</si>
  <si>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</si>
  <si>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</si>
  <si>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</si>
  <si>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</si>
  <si>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</si>
  <si>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</si>
  <si>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</si>
  <si>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</si>
  <si>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</si>
  <si>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</si>
  <si>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</si>
  <si>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</si>
  <si>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</si>
  <si>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</si>
  <si>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</si>
  <si>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</si>
  <si>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</si>
  <si>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</si>
  <si>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</si>
  <si>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</si>
  <si>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</si>
  <si>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</si>
  <si>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</si>
  <si>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</si>
  <si>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</si>
  <si>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</si>
  <si>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</si>
  <si>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</si>
  <si>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</si>
  <si>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</si>
  <si>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</si>
  <si>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</si>
  <si>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</si>
  <si>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</si>
  <si>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</si>
  <si>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</si>
  <si>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</si>
  <si>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</si>
  <si>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</si>
  <si>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</si>
  <si>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</si>
  <si>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</si>
  <si>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</si>
  <si>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</si>
  <si>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</si>
  <si>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</si>
  <si>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</si>
  <si>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</si>
  <si>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</si>
  <si>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</si>
  <si>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</si>
  <si>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</si>
  <si>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</si>
  <si>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</si>
  <si>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</si>
  <si>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</si>
  <si>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</si>
  <si>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</si>
  <si>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</si>
  <si>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</si>
  <si>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</si>
  <si>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</si>
  <si>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</si>
  <si>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</si>
  <si>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</si>
  <si>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</si>
  <si>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</si>
  <si>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</si>
  <si>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</si>
  <si>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</si>
  <si>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</si>
  <si>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</si>
  <si>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</si>
  <si>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</si>
  <si>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</si>
  <si>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</si>
  <si>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</si>
  <si>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</si>
  <si>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</si>
  <si>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</si>
  <si>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</si>
  <si>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</si>
  <si>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</si>
  <si>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</si>
  <si>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</si>
  <si>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</si>
  <si>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</si>
  <si>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</si>
  <si>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</si>
  <si>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</si>
  <si>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</si>
  <si>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</si>
  <si>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</si>
  <si>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</si>
  <si>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</si>
  <si>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</si>
  <si>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</si>
  <si>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</si>
  <si>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</si>
  <si>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</si>
  <si>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</si>
  <si>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</si>
  <si>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</si>
  <si>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</si>
  <si>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</si>
  <si>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</si>
  <si>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</si>
  <si>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</si>
  <si>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</si>
  <si>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</si>
  <si>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</si>
  <si>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</si>
  <si>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</si>
  <si>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</si>
  <si>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</si>
  <si>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</si>
  <si>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</si>
  <si>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</si>
  <si>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</si>
  <si>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</si>
  <si>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</si>
  <si>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</si>
  <si>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</si>
  <si>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</si>
  <si>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</si>
  <si>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</si>
  <si>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</si>
  <si>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</si>
  <si>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</si>
  <si>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</si>
  <si>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</si>
  <si>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</si>
  <si>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</si>
  <si>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</si>
  <si>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</si>
  <si>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</si>
  <si>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</si>
  <si>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</si>
  <si>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</si>
  <si>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</si>
  <si>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</si>
  <si>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</si>
  <si>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</si>
  <si>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</si>
  <si>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</si>
  <si>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</si>
  <si>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</si>
  <si>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</si>
  <si>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</si>
  <si>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</si>
  <si>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</si>
  <si>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</si>
  <si>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</si>
  <si>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</si>
  <si>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</si>
  <si>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</si>
  <si>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</si>
  <si>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</si>
  <si>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</si>
  <si>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</si>
  <si>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</si>
  <si>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</si>
  <si>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</si>
  <si>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</si>
  <si>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</si>
  <si>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</si>
  <si>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</si>
  <si>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</si>
  <si>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</si>
  <si>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</si>
  <si>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</si>
  <si>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</si>
  <si>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</si>
  <si>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PEMASANGAN KONSTRUKSI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</si>
  <si>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</si>
  <si>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</si>
  <si>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</si>
  <si>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</si>
  <si>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</si>
  <si>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III</t>
  </si>
  <si>
    <t>Pemasangan Kabel</t>
  </si>
  <si>
    <t>Pipa Shock PVC</t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</si>
  <si>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</si>
  <si>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</si>
  <si>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</si>
  <si>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</si>
  <si>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</si>
  <si>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</si>
  <si>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</si>
  <si>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</si>
  <si>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</si>
  <si>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</si>
  <si>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</si>
  <si>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</si>
  <si>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</si>
  <si>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</si>
  <si>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</si>
  <si>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</si>
  <si>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</si>
  <si>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</si>
  <si>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</si>
  <si>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</si>
  <si>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Kabel Power Threecore</t>
  </si>
  <si>
    <t>CC1-A</t>
  </si>
  <si>
    <t>SINGLE LINE DIAGRAM LOKASI PEKERJAAN PB PLN UP3 GROBOGAN</t>
  </si>
  <si>
    <t>Demak, 16 November 2023</t>
  </si>
  <si>
    <t>B2</t>
  </si>
  <si>
    <t>DB06</t>
  </si>
  <si>
    <t>set of cable terminator for 3x150aac+90 st</t>
  </si>
  <si>
    <t>TERM;20kV;AL;3P;3X70mm2;NON ISO;ID (Coldshrink+Shearbolt)</t>
  </si>
  <si>
    <t>TERM;20kV;AL;3P;3X70mm2;NON ISO;OD (Coldshrink+Shearbolt)</t>
  </si>
  <si>
    <t>Upah Pasang Terminating Kabel 3 x 70 mm² ID</t>
  </si>
  <si>
    <t>Upah Pasang Terminating Kabel 3 x 70 mm² OD</t>
  </si>
  <si>
    <t>-6.943186, 110.497023</t>
  </si>
  <si>
    <t>PEKERJAAN PD An. CV ANUGRAH TIMBERINDO</t>
  </si>
  <si>
    <t>SAR 2024</t>
  </si>
  <si>
    <t>SAYUNG - DEMAK</t>
  </si>
  <si>
    <t>PEMASANGAN KUBIKEL DAN APP</t>
  </si>
  <si>
    <t>Pemasangan Cubicle</t>
  </si>
  <si>
    <t>APP TM dan PS</t>
  </si>
  <si>
    <t>Pemasangan Disconecting Switch</t>
  </si>
  <si>
    <t>Pemasangan Arrester</t>
  </si>
  <si>
    <t>Pemasangan Grounding</t>
  </si>
  <si>
    <t>Stainless Steel Strap 20 X 0.7 mm</t>
  </si>
  <si>
    <t>BONGKAR PASANG</t>
  </si>
  <si>
    <t>PD An. CV ANUGRAH TIMBERINDO</t>
  </si>
  <si>
    <t>PETA LOKASI PEKERJAAN PD An. CV ANUGRAH TIMBERINDO</t>
  </si>
  <si>
    <t>Trafo 200 (G313)</t>
  </si>
  <si>
    <t>APP TM 345KVA</t>
  </si>
  <si>
    <t>Kubikel</t>
  </si>
  <si>
    <t>APP TR</t>
  </si>
  <si>
    <t>ARRESTER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</si>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</sst>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indexed="64"/>
      </right>
      <top/>
      <bottom style="thin">
        <color rgb="FFFF0000"/>
      </bottom>
      <diagonal/>
    </border>
    <border>
      <left style="thin">
        <color auto="1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auto="1"/>
      </right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86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</cellStyleXfs>
  <cellXfs count="73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7" fillId="0" borderId="21" xfId="1653" applyFont="1" applyBorder="1" applyAlignment="1">
      <alignment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652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3" fillId="0" borderId="21" xfId="1652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41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9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6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7" fillId="0" borderId="0" xfId="1451" applyFont="1"/>
    <xf numFmtId="0" fontId="55" fillId="0" borderId="0" xfId="1451" applyFont="1"/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9" fillId="0" borderId="0" xfId="1451" applyFont="1" applyAlignment="1">
      <alignment vertical="center"/>
    </xf>
    <xf numFmtId="0" fontId="159" fillId="0" borderId="37" xfId="1451" applyFont="1" applyBorder="1" applyAlignment="1">
      <alignment vertical="center"/>
    </xf>
    <xf numFmtId="0" fontId="158" fillId="0" borderId="0" xfId="1451" applyFont="1" applyAlignment="1">
      <alignment horizontal="center" vertical="center"/>
    </xf>
    <xf numFmtId="0" fontId="53" fillId="0" borderId="34" xfId="1451" applyFont="1" applyBorder="1"/>
    <xf numFmtId="0" fontId="158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41" fontId="4" fillId="0" borderId="21" xfId="1653" applyNumberFormat="1" applyFont="1" applyBorder="1" applyAlignment="1">
      <alignment horizontal="center" vertical="center"/>
    </xf>
    <xf numFmtId="208" fontId="4" fillId="0" borderId="21" xfId="1653" applyNumberFormat="1" applyFont="1" applyBorder="1" applyAlignment="1">
      <alignment horizontal="center" vertic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8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3" fillId="0" borderId="28" xfId="2677" applyFont="1" applyBorder="1" applyAlignment="1">
      <alignment horizontal="center"/>
    </xf>
    <xf numFmtId="0" fontId="163" fillId="0" borderId="0" xfId="2677" applyFont="1" applyAlignment="1">
      <alignment horizontal="center"/>
    </xf>
    <xf numFmtId="0" fontId="160" fillId="0" borderId="91" xfId="2677" applyFont="1" applyBorder="1" applyAlignment="1">
      <alignment horizontal="center" vertical="center"/>
    </xf>
    <xf numFmtId="0" fontId="160" fillId="0" borderId="92" xfId="2677" applyFont="1" applyBorder="1" applyAlignment="1">
      <alignment horizontal="center" vertical="center"/>
    </xf>
    <xf numFmtId="0" fontId="160" fillId="0" borderId="0" xfId="2677" applyFont="1" applyAlignment="1">
      <alignment horizontal="center" vertical="center"/>
    </xf>
    <xf numFmtId="0" fontId="166" fillId="0" borderId="0" xfId="2677" applyFont="1" applyAlignment="1">
      <alignment horizontal="center"/>
    </xf>
    <xf numFmtId="0" fontId="167" fillId="0" borderId="91" xfId="2677" applyFont="1" applyBorder="1" applyAlignment="1">
      <alignment horizontal="center" vertical="center"/>
    </xf>
    <xf numFmtId="0" fontId="160" fillId="0" borderId="95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0" fillId="0" borderId="92" xfId="2677" applyFont="1" applyBorder="1" applyAlignment="1">
      <alignment horizontal="center"/>
    </xf>
    <xf numFmtId="20" fontId="160" fillId="0" borderId="92" xfId="2677" applyNumberFormat="1" applyFont="1" applyBorder="1" applyAlignment="1">
      <alignment horizontal="center"/>
    </xf>
    <xf numFmtId="0" fontId="160" fillId="0" borderId="95" xfId="2677" applyFont="1" applyBorder="1" applyAlignment="1">
      <alignment horizontal="center" vertical="center" wrapText="1"/>
    </xf>
    <xf numFmtId="0" fontId="165" fillId="0" borderId="34" xfId="2677" applyFont="1" applyBorder="1" applyAlignment="1">
      <alignment horizontal="center"/>
    </xf>
    <xf numFmtId="0" fontId="165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96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8" xfId="2677" applyFont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3" applyFont="1" applyBorder="1" applyAlignment="1">
      <alignment horizontal="center" vertical="center"/>
    </xf>
    <xf numFmtId="0" fontId="53" fillId="0" borderId="103" xfId="1451" applyFont="1" applyBorder="1"/>
    <xf numFmtId="0" fontId="158" fillId="0" borderId="103" xfId="1451" applyFont="1" applyBorder="1" applyAlignment="1">
      <alignment vertical="center"/>
    </xf>
    <xf numFmtId="0" fontId="158" fillId="0" borderId="103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6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3" xfId="1451" applyFont="1" applyFill="1" applyBorder="1"/>
    <xf numFmtId="0" fontId="158" fillId="33" borderId="103" xfId="1451" applyFont="1" applyFill="1" applyBorder="1" applyAlignment="1">
      <alignment vertical="center"/>
    </xf>
    <xf numFmtId="0" fontId="158" fillId="33" borderId="103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58" fillId="49" borderId="0" xfId="1451" applyFont="1" applyFill="1" applyAlignment="1">
      <alignment vertical="center"/>
    </xf>
    <xf numFmtId="0" fontId="158" fillId="49" borderId="0" xfId="1451" applyFont="1" applyFill="1" applyAlignment="1">
      <alignment horizontal="center" vertical="center"/>
    </xf>
    <xf numFmtId="0" fontId="165" fillId="0" borderId="94" xfId="2677" applyFont="1" applyBorder="1" applyAlignment="1">
      <alignment horizontal="center" vertical="center"/>
    </xf>
    <xf numFmtId="0" fontId="165" fillId="0" borderId="89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0" xfId="1614" applyFont="1" applyAlignment="1">
      <alignment horizontal="center"/>
    </xf>
    <xf numFmtId="0" fontId="160" fillId="0" borderId="0" xfId="2677" applyFont="1" applyAlignment="1">
      <alignment horizontal="left"/>
    </xf>
    <xf numFmtId="0" fontId="165" fillId="0" borderId="105" xfId="2677" applyFont="1" applyBorder="1" applyAlignment="1">
      <alignment horizontal="center" vertical="center"/>
    </xf>
    <xf numFmtId="0" fontId="165" fillId="0" borderId="106" xfId="2677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9" fontId="111" fillId="0" borderId="0" xfId="2675" applyFont="1"/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0" fillId="48" borderId="21" xfId="1614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65" fillId="0" borderId="107" xfId="2677" applyFont="1" applyBorder="1" applyAlignment="1">
      <alignment horizontal="left" vertical="center"/>
    </xf>
    <xf numFmtId="0" fontId="165" fillId="0" borderId="108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center" vertical="center"/>
    </xf>
    <xf numFmtId="0" fontId="160" fillId="0" borderId="0" xfId="2677" quotePrefix="1" applyFont="1" applyAlignment="1">
      <alignment horizontal="left"/>
    </xf>
    <xf numFmtId="0" fontId="165" fillId="0" borderId="113" xfId="2677" applyFont="1" applyBorder="1" applyAlignment="1">
      <alignment horizontal="center" vertical="center"/>
    </xf>
    <xf numFmtId="0" fontId="165" fillId="0" borderId="114" xfId="2677" applyFont="1" applyBorder="1" applyAlignment="1">
      <alignment horizontal="center" vertical="center"/>
    </xf>
    <xf numFmtId="0" fontId="165" fillId="0" borderId="105" xfId="2677" applyFont="1" applyBorder="1" applyAlignment="1">
      <alignment horizontal="left" vertical="center"/>
    </xf>
    <xf numFmtId="0" fontId="165" fillId="0" borderId="115" xfId="2677" applyFont="1" applyBorder="1" applyAlignment="1">
      <alignment horizontal="center" vertical="center"/>
    </xf>
    <xf numFmtId="0" fontId="165" fillId="0" borderId="116" xfId="2677" applyFont="1" applyBorder="1" applyAlignment="1">
      <alignment horizontal="center" vertical="center"/>
    </xf>
    <xf numFmtId="0" fontId="165" fillId="0" borderId="117" xfId="2677" applyFont="1" applyBorder="1" applyAlignment="1">
      <alignment horizontal="left" vertical="center"/>
    </xf>
    <xf numFmtId="0" fontId="165" fillId="0" borderId="118" xfId="2677" applyFont="1" applyBorder="1" applyAlignment="1">
      <alignment horizontal="left" vertical="center"/>
    </xf>
    <xf numFmtId="0" fontId="165" fillId="0" borderId="119" xfId="2677" applyFont="1" applyBorder="1" applyAlignment="1">
      <alignment horizontal="left" vertical="center"/>
    </xf>
    <xf numFmtId="0" fontId="165" fillId="0" borderId="112" xfId="2677" applyFont="1" applyBorder="1" applyAlignment="1">
      <alignment horizontal="left" vertical="center"/>
    </xf>
    <xf numFmtId="0" fontId="165" fillId="0" borderId="120" xfId="2677" applyFont="1" applyBorder="1" applyAlignment="1">
      <alignment horizontal="left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43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0" fontId="135" fillId="0" borderId="0" xfId="1614" applyFont="1" applyAlignment="1">
      <alignment horizontal="left" vertical="top" wrapText="1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65" fillId="0" borderId="120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60" fillId="0" borderId="91" xfId="2677" applyFont="1" applyBorder="1" applyAlignment="1">
      <alignment horizontal="center"/>
    </xf>
    <xf numFmtId="0" fontId="160" fillId="0" borderId="92" xfId="2677" applyFont="1" applyBorder="1" applyAlignment="1">
      <alignment horizontal="center"/>
    </xf>
    <xf numFmtId="0" fontId="160" fillId="0" borderId="18" xfId="2677" quotePrefix="1" applyFont="1" applyBorder="1" applyAlignment="1">
      <alignment horizontal="left" vertical="top" wrapText="1"/>
    </xf>
    <xf numFmtId="0" fontId="160" fillId="0" borderId="0" xfId="2677" quotePrefix="1" applyFont="1" applyAlignment="1">
      <alignment horizontal="left" vertical="top" wrapText="1"/>
    </xf>
    <xf numFmtId="0" fontId="160" fillId="0" borderId="37" xfId="2677" quotePrefix="1" applyFont="1" applyBorder="1" applyAlignment="1">
      <alignment horizontal="left" vertical="top" wrapText="1"/>
    </xf>
    <xf numFmtId="0" fontId="160" fillId="0" borderId="41" xfId="2677" quotePrefix="1" applyFont="1" applyBorder="1" applyAlignment="1">
      <alignment horizontal="left" vertical="top" wrapText="1"/>
    </xf>
    <xf numFmtId="0" fontId="160" fillId="0" borderId="42" xfId="2677" quotePrefix="1" applyFont="1" applyBorder="1" applyAlignment="1">
      <alignment horizontal="left" vertical="top" wrapText="1"/>
    </xf>
    <xf numFmtId="0" fontId="160" fillId="0" borderId="82" xfId="2677" quotePrefix="1" applyFont="1" applyBorder="1" applyAlignment="1">
      <alignment horizontal="left" vertical="top" wrapText="1"/>
    </xf>
    <xf numFmtId="0" fontId="165" fillId="0" borderId="115" xfId="2677" applyFont="1" applyBorder="1" applyAlignment="1">
      <alignment horizontal="left" vertical="center"/>
    </xf>
    <xf numFmtId="0" fontId="160" fillId="0" borderId="86" xfId="2677" applyFont="1" applyBorder="1" applyAlignment="1">
      <alignment horizontal="left" vertical="center"/>
    </xf>
    <xf numFmtId="0" fontId="160" fillId="0" borderId="90" xfId="2677" applyFont="1" applyBorder="1" applyAlignment="1">
      <alignment horizontal="left" vertical="center"/>
    </xf>
    <xf numFmtId="0" fontId="161" fillId="0" borderId="81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82" xfId="2677" applyFont="1" applyBorder="1" applyAlignment="1">
      <alignment horizontal="center" vertical="center"/>
    </xf>
    <xf numFmtId="0" fontId="160" fillId="0" borderId="0" xfId="2677" applyFont="1" applyAlignment="1">
      <alignment horizontal="center"/>
    </xf>
    <xf numFmtId="0" fontId="160" fillId="0" borderId="83" xfId="2677" applyFont="1" applyBorder="1" applyAlignment="1">
      <alignment horizontal="center"/>
    </xf>
    <xf numFmtId="0" fontId="160" fillId="0" borderId="84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2" fillId="0" borderId="0" xfId="2677" applyFont="1" applyAlignment="1">
      <alignment horizontal="left"/>
    </xf>
    <xf numFmtId="0" fontId="162" fillId="0" borderId="37" xfId="2677" applyFont="1" applyBorder="1" applyAlignment="1">
      <alignment horizontal="left"/>
    </xf>
    <xf numFmtId="0" fontId="164" fillId="0" borderId="109" xfId="2677" applyFont="1" applyBorder="1" applyAlignment="1">
      <alignment horizontal="center" vertical="center"/>
    </xf>
    <xf numFmtId="0" fontId="164" fillId="0" borderId="110" xfId="2677" applyFont="1" applyBorder="1" applyAlignment="1">
      <alignment horizontal="center" vertical="center"/>
    </xf>
    <xf numFmtId="0" fontId="164" fillId="0" borderId="111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center" vertical="center"/>
    </xf>
    <xf numFmtId="0" fontId="162" fillId="0" borderId="87" xfId="2677" applyFont="1" applyBorder="1" applyAlignment="1">
      <alignment horizontal="center" vertical="center"/>
    </xf>
    <xf numFmtId="0" fontId="160" fillId="0" borderId="86" xfId="2677" applyFont="1" applyBorder="1" applyAlignment="1">
      <alignment horizontal="center"/>
    </xf>
    <xf numFmtId="0" fontId="160" fillId="0" borderId="90" xfId="2677" applyFont="1" applyBorder="1" applyAlignment="1">
      <alignment horizontal="center"/>
    </xf>
    <xf numFmtId="15" fontId="160" fillId="0" borderId="91" xfId="2677" applyNumberFormat="1" applyFont="1" applyBorder="1" applyAlignment="1">
      <alignment horizontal="center"/>
    </xf>
    <xf numFmtId="0" fontId="160" fillId="0" borderId="83" xfId="2677" applyFont="1" applyBorder="1" applyAlignment="1">
      <alignment horizontal="center" vertical="center"/>
    </xf>
    <xf numFmtId="0" fontId="160" fillId="0" borderId="84" xfId="2677" applyFont="1" applyBorder="1" applyAlignment="1">
      <alignment horizontal="center" vertical="center"/>
    </xf>
    <xf numFmtId="0" fontId="160" fillId="0" borderId="51" xfId="2677" applyFont="1" applyBorder="1" applyAlignment="1">
      <alignment horizontal="center"/>
    </xf>
    <xf numFmtId="0" fontId="160" fillId="0" borderId="97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horizontal="center" vertical="center" wrapText="1"/>
    </xf>
    <xf numFmtId="0" fontId="160" fillId="0" borderId="82" xfId="2677" applyFont="1" applyBorder="1" applyAlignment="1">
      <alignment horizontal="center" vertical="center" wrapText="1"/>
    </xf>
    <xf numFmtId="0" fontId="164" fillId="0" borderId="100" xfId="2677" applyFont="1" applyBorder="1" applyAlignment="1">
      <alignment horizontal="center" vertical="center"/>
    </xf>
    <xf numFmtId="0" fontId="164" fillId="0" borderId="99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center" vertical="center"/>
    </xf>
    <xf numFmtId="0" fontId="160" fillId="0" borderId="85" xfId="2677" applyFont="1" applyBorder="1" applyAlignment="1">
      <alignment horizontal="center" vertical="center"/>
    </xf>
    <xf numFmtId="0" fontId="160" fillId="0" borderId="90" xfId="2677" applyFont="1" applyBorder="1" applyAlignment="1">
      <alignment horizontal="center" vertical="center"/>
    </xf>
    <xf numFmtId="0" fontId="165" fillId="0" borderId="101" xfId="2677" applyFont="1" applyBorder="1" applyAlignment="1">
      <alignment horizontal="left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60" fillId="0" borderId="85" xfId="2677" applyFont="1" applyBorder="1" applyAlignment="1">
      <alignment horizontal="left" vertical="center"/>
    </xf>
    <xf numFmtId="0" fontId="165" fillId="0" borderId="93" xfId="2677" applyFont="1" applyBorder="1" applyAlignment="1">
      <alignment horizontal="left" vertical="center"/>
    </xf>
    <xf numFmtId="0" fontId="165" fillId="0" borderId="94" xfId="2677" applyFont="1" applyBorder="1" applyAlignment="1">
      <alignment horizontal="left" vertical="center"/>
    </xf>
    <xf numFmtId="0" fontId="165" fillId="0" borderId="101" xfId="2677" applyFont="1" applyBorder="1" applyAlignment="1">
      <alignment horizontal="center" vertical="center"/>
    </xf>
    <xf numFmtId="0" fontId="165" fillId="0" borderId="102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left" vertical="top" wrapText="1"/>
    </xf>
    <xf numFmtId="0" fontId="160" fillId="0" borderId="0" xfId="2677" applyFont="1" applyAlignment="1">
      <alignment horizontal="left" vertical="top" wrapText="1"/>
    </xf>
    <xf numFmtId="0" fontId="160" fillId="0" borderId="37" xfId="2677" applyFont="1" applyBorder="1" applyAlignment="1">
      <alignment horizontal="left" vertical="top" wrapText="1"/>
    </xf>
    <xf numFmtId="0" fontId="160" fillId="0" borderId="41" xfId="2677" applyFont="1" applyBorder="1" applyAlignment="1">
      <alignment horizontal="left" vertical="top" wrapText="1"/>
    </xf>
    <xf numFmtId="0" fontId="160" fillId="0" borderId="42" xfId="2677" applyFont="1" applyBorder="1" applyAlignment="1">
      <alignment horizontal="left" vertical="top" wrapText="1"/>
    </xf>
    <xf numFmtId="0" fontId="160" fillId="0" borderId="82" xfId="2677" applyFont="1" applyBorder="1" applyAlignment="1">
      <alignment horizontal="left" vertical="top" wrapText="1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  <xf numFmtId="0" fontId="155" fillId="33" borderId="26" xfId="1451" applyFont="1" applyFill="1" applyBorder="1" applyAlignment="1">
      <alignment horizontal="center" vertical="center"/>
    </xf>
    <xf numFmtId="0" fontId="155" fillId="33" borderId="36" xfId="1451" applyFont="1" applyFill="1" applyBorder="1" applyAlignment="1">
      <alignment horizontal="center" vertical="center"/>
    </xf>
    <xf numFmtId="0" fontId="155" fillId="33" borderId="43" xfId="1451" applyFont="1" applyFill="1" applyBorder="1" applyAlignment="1">
      <alignment horizontal="center" vertical="center"/>
    </xf>
    <xf numFmtId="0" fontId="155" fillId="33" borderId="34" xfId="1451" applyFont="1" applyFill="1" applyBorder="1" applyAlignment="1">
      <alignment horizontal="center" vertical="center"/>
    </xf>
    <xf numFmtId="0" fontId="155" fillId="33" borderId="103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9.xml"/><Relationship Id="rId138" Type="http://schemas.openxmlformats.org/officeDocument/2006/relationships/externalLink" Target="externalLinks/externalLink123.xml"/><Relationship Id="rId159" Type="http://schemas.openxmlformats.org/officeDocument/2006/relationships/externalLink" Target="externalLinks/externalLink144.xml"/><Relationship Id="rId170" Type="http://schemas.openxmlformats.org/officeDocument/2006/relationships/externalLink" Target="externalLinks/externalLink155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9.xml"/><Relationship Id="rId128" Type="http://schemas.openxmlformats.org/officeDocument/2006/relationships/externalLink" Target="externalLinks/externalLink113.xml"/><Relationship Id="rId149" Type="http://schemas.openxmlformats.org/officeDocument/2006/relationships/externalLink" Target="externalLinks/externalLink134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0.xml"/><Relationship Id="rId160" Type="http://schemas.openxmlformats.org/officeDocument/2006/relationships/externalLink" Target="externalLinks/externalLink145.xml"/><Relationship Id="rId181" Type="http://schemas.openxmlformats.org/officeDocument/2006/relationships/styles" Target="styles.xml"/><Relationship Id="rId22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9.xml"/><Relationship Id="rId118" Type="http://schemas.openxmlformats.org/officeDocument/2006/relationships/externalLink" Target="externalLinks/externalLink103.xml"/><Relationship Id="rId139" Type="http://schemas.openxmlformats.org/officeDocument/2006/relationships/externalLink" Target="externalLinks/externalLink124.xml"/><Relationship Id="rId85" Type="http://schemas.openxmlformats.org/officeDocument/2006/relationships/externalLink" Target="externalLinks/externalLink70.xml"/><Relationship Id="rId150" Type="http://schemas.openxmlformats.org/officeDocument/2006/relationships/externalLink" Target="externalLinks/externalLink135.xml"/><Relationship Id="rId171" Type="http://schemas.openxmlformats.org/officeDocument/2006/relationships/externalLink" Target="externalLinks/externalLink156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8.xml"/><Relationship Id="rId108" Type="http://schemas.openxmlformats.org/officeDocument/2006/relationships/externalLink" Target="externalLinks/externalLink93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61" Type="http://schemas.openxmlformats.org/officeDocument/2006/relationships/externalLink" Target="externalLinks/externalLink146.xml"/><Relationship Id="rId182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51" Type="http://schemas.openxmlformats.org/officeDocument/2006/relationships/externalLink" Target="externalLinks/externalLink136.xml"/><Relationship Id="rId156" Type="http://schemas.openxmlformats.org/officeDocument/2006/relationships/externalLink" Target="externalLinks/externalLink141.xml"/><Relationship Id="rId177" Type="http://schemas.openxmlformats.org/officeDocument/2006/relationships/externalLink" Target="externalLinks/externalLink162.xml"/><Relationship Id="rId172" Type="http://schemas.openxmlformats.org/officeDocument/2006/relationships/externalLink" Target="externalLinks/externalLink157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externalLink" Target="externalLinks/externalLink131.xml"/><Relationship Id="rId167" Type="http://schemas.openxmlformats.org/officeDocument/2006/relationships/externalLink" Target="externalLinks/externalLink15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162" Type="http://schemas.openxmlformats.org/officeDocument/2006/relationships/externalLink" Target="externalLinks/externalLink147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157" Type="http://schemas.openxmlformats.org/officeDocument/2006/relationships/externalLink" Target="externalLinks/externalLink142.xml"/><Relationship Id="rId178" Type="http://schemas.openxmlformats.org/officeDocument/2006/relationships/externalLink" Target="externalLinks/externalLink163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52" Type="http://schemas.openxmlformats.org/officeDocument/2006/relationships/externalLink" Target="externalLinks/externalLink137.xml"/><Relationship Id="rId173" Type="http://schemas.openxmlformats.org/officeDocument/2006/relationships/externalLink" Target="externalLinks/externalLink158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147" Type="http://schemas.openxmlformats.org/officeDocument/2006/relationships/externalLink" Target="externalLinks/externalLink132.xml"/><Relationship Id="rId168" Type="http://schemas.openxmlformats.org/officeDocument/2006/relationships/externalLink" Target="externalLinks/externalLink15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163" Type="http://schemas.openxmlformats.org/officeDocument/2006/relationships/externalLink" Target="externalLinks/externalLink14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158" Type="http://schemas.openxmlformats.org/officeDocument/2006/relationships/externalLink" Target="externalLinks/externalLink143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3" Type="http://schemas.openxmlformats.org/officeDocument/2006/relationships/externalLink" Target="externalLinks/externalLink138.xml"/><Relationship Id="rId174" Type="http://schemas.openxmlformats.org/officeDocument/2006/relationships/externalLink" Target="externalLinks/externalLink159.xml"/><Relationship Id="rId179" Type="http://schemas.openxmlformats.org/officeDocument/2006/relationships/externalLink" Target="externalLinks/externalLink16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externalLink" Target="externalLinks/externalLink128.xml"/><Relationship Id="rId148" Type="http://schemas.openxmlformats.org/officeDocument/2006/relationships/externalLink" Target="externalLinks/externalLink133.xml"/><Relationship Id="rId164" Type="http://schemas.openxmlformats.org/officeDocument/2006/relationships/externalLink" Target="externalLinks/externalLink149.xml"/><Relationship Id="rId169" Type="http://schemas.openxmlformats.org/officeDocument/2006/relationships/externalLink" Target="externalLinks/externalLink15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theme" Target="theme/theme1.xml"/><Relationship Id="rId26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54" Type="http://schemas.openxmlformats.org/officeDocument/2006/relationships/externalLink" Target="externalLinks/externalLink139.xml"/><Relationship Id="rId175" Type="http://schemas.openxmlformats.org/officeDocument/2006/relationships/externalLink" Target="externalLinks/externalLink160.xml"/><Relationship Id="rId16" Type="http://schemas.openxmlformats.org/officeDocument/2006/relationships/externalLink" Target="externalLinks/externalLink1.xml"/><Relationship Id="rId37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44" Type="http://schemas.openxmlformats.org/officeDocument/2006/relationships/externalLink" Target="externalLinks/externalLink129.xml"/><Relationship Id="rId90" Type="http://schemas.openxmlformats.org/officeDocument/2006/relationships/externalLink" Target="externalLinks/externalLink75.xml"/><Relationship Id="rId165" Type="http://schemas.openxmlformats.org/officeDocument/2006/relationships/externalLink" Target="externalLinks/externalLink150.xml"/><Relationship Id="rId27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34" Type="http://schemas.openxmlformats.org/officeDocument/2006/relationships/externalLink" Target="externalLinks/externalLink119.xml"/><Relationship Id="rId80" Type="http://schemas.openxmlformats.org/officeDocument/2006/relationships/externalLink" Target="externalLinks/externalLink65.xml"/><Relationship Id="rId155" Type="http://schemas.openxmlformats.org/officeDocument/2006/relationships/externalLink" Target="externalLinks/externalLink140.xml"/><Relationship Id="rId176" Type="http://schemas.openxmlformats.org/officeDocument/2006/relationships/externalLink" Target="externalLinks/externalLink161.xml"/><Relationship Id="rId17" Type="http://schemas.openxmlformats.org/officeDocument/2006/relationships/externalLink" Target="externalLinks/externalLink2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24" Type="http://schemas.openxmlformats.org/officeDocument/2006/relationships/externalLink" Target="externalLinks/externalLink109.xml"/><Relationship Id="rId70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6.xml"/><Relationship Id="rId145" Type="http://schemas.openxmlformats.org/officeDocument/2006/relationships/externalLink" Target="externalLinks/externalLink130.xml"/><Relationship Id="rId166" Type="http://schemas.openxmlformats.org/officeDocument/2006/relationships/externalLink" Target="externalLinks/externalLink151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1.7250000000000001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microsoft.com/office/2007/relationships/hdphoto" Target="../media/hdphoto1.wdp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png"/><Relationship Id="rId4" Type="http://schemas.openxmlformats.org/officeDocument/2006/relationships/image" Target="../media/image19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48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48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158</xdr:row>
      <xdr:rowOff>81642</xdr:rowOff>
    </xdr:from>
    <xdr:to>
      <xdr:col>12</xdr:col>
      <xdr:colOff>41108</xdr:colOff>
      <xdr:row>161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18</xdr:row>
      <xdr:rowOff>19050</xdr:rowOff>
    </xdr:from>
    <xdr:to>
      <xdr:col>21</xdr:col>
      <xdr:colOff>347234</xdr:colOff>
      <xdr:row>49</xdr:row>
      <xdr:rowOff>38100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CC6AA47-9BCE-D2C6-ECE7-A68DDF3EB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2399" y="2790825"/>
          <a:ext cx="7910085" cy="4848225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F76AFA2-EB59-7700-FB3E-37FB10A12538}"/>
            </a:ext>
          </a:extLst>
        </xdr:cNvPr>
        <xdr:cNvGrpSpPr/>
      </xdr:nvGrpSpPr>
      <xdr:grpSpPr>
        <a:xfrm>
          <a:off x="9956795" y="817444"/>
          <a:ext cx="83991" cy="75475"/>
          <a:chOff x="9937028" y="802652"/>
          <a:chExt cx="83991" cy="77961"/>
        </a:xfrm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BDEA3D15-361B-6BED-E568-AE1CE0C3F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B72C20AA-7BB2-7031-0778-8D025E9C9ECC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64ED0F05-736D-C909-E3DA-B3F461E353BB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F75B7A5-6316-0C24-9FFB-C62121E36ED4}"/>
            </a:ext>
          </a:extLst>
        </xdr:cNvPr>
        <xdr:cNvSpPr/>
      </xdr:nvSpPr>
      <xdr:spPr>
        <a:xfrm>
          <a:off x="9961829" y="954575"/>
          <a:ext cx="8399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>
          <a:extLst>
            <a:ext uri="{FF2B5EF4-FFF2-40B4-BE49-F238E27FC236}">
              <a16:creationId xmlns:a16="http://schemas.microsoft.com/office/drawing/2014/main" id="{0CF117BF-8799-AC1C-CDE5-F515AED9186B}"/>
            </a:ext>
          </a:extLst>
        </xdr:cNvPr>
        <xdr:cNvGrpSpPr/>
      </xdr:nvGrpSpPr>
      <xdr:grpSpPr>
        <a:xfrm>
          <a:off x="10700106" y="820229"/>
          <a:ext cx="83991" cy="75475"/>
          <a:chOff x="9937028" y="802652"/>
          <a:chExt cx="83991" cy="77961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A2E9B998-F337-30D5-F07B-A133508F62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F1D20C0-1628-FFC4-E5B5-3806C0EAD9EA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80FFBE0-944D-4B2D-23A5-1996288D40C9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71E29F7-E32D-77CA-AC86-078360F3832E}"/>
            </a:ext>
          </a:extLst>
        </xdr:cNvPr>
        <xdr:cNvSpPr/>
      </xdr:nvSpPr>
      <xdr:spPr>
        <a:xfrm>
          <a:off x="10700107" y="954841"/>
          <a:ext cx="79355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6CF42D-6310-1467-BF18-84F47B73964E}"/>
            </a:ext>
          </a:extLst>
        </xdr:cNvPr>
        <xdr:cNvCxnSpPr/>
      </xdr:nvCxnSpPr>
      <xdr:spPr>
        <a:xfrm>
          <a:off x="9713886" y="1150463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E64354-B284-426A-6A6C-481378101237}"/>
            </a:ext>
          </a:extLst>
        </xdr:cNvPr>
        <xdr:cNvCxnSpPr/>
      </xdr:nvCxnSpPr>
      <xdr:spPr>
        <a:xfrm>
          <a:off x="10476532" y="115421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657A956-6CBD-1C57-57EF-DD73112B2086}"/>
            </a:ext>
          </a:extLst>
        </xdr:cNvPr>
        <xdr:cNvCxnSpPr/>
      </xdr:nvCxnSpPr>
      <xdr:spPr>
        <a:xfrm>
          <a:off x="9714532" y="1296008"/>
          <a:ext cx="568271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1C8F972-A2EE-12EC-7CFA-CD529C218BF1}"/>
            </a:ext>
          </a:extLst>
        </xdr:cNvPr>
        <xdr:cNvCxnSpPr/>
      </xdr:nvCxnSpPr>
      <xdr:spPr>
        <a:xfrm>
          <a:off x="10477178" y="1299759"/>
          <a:ext cx="568271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D3FFAE3-F8DC-0B45-4F15-3CD991408350}"/>
            </a:ext>
          </a:extLst>
        </xdr:cNvPr>
        <xdr:cNvCxnSpPr/>
      </xdr:nvCxnSpPr>
      <xdr:spPr>
        <a:xfrm>
          <a:off x="9717115" y="1452810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70A9613-227C-99C0-813A-838EA291C6FE}"/>
            </a:ext>
          </a:extLst>
        </xdr:cNvPr>
        <xdr:cNvCxnSpPr/>
      </xdr:nvCxnSpPr>
      <xdr:spPr>
        <a:xfrm>
          <a:off x="10479761" y="1456560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2C9337E-C3BA-88F2-1829-096B935A96B1}"/>
            </a:ext>
          </a:extLst>
        </xdr:cNvPr>
        <xdr:cNvCxnSpPr/>
      </xdr:nvCxnSpPr>
      <xdr:spPr>
        <a:xfrm>
          <a:off x="9713886" y="1597732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546A9C1-D105-F391-FE3B-2ECA7E9A5777}"/>
            </a:ext>
          </a:extLst>
        </xdr:cNvPr>
        <xdr:cNvCxnSpPr/>
      </xdr:nvCxnSpPr>
      <xdr:spPr>
        <a:xfrm>
          <a:off x="10476532" y="160148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978594C-3026-8DE3-5D15-732647A98A3A}"/>
            </a:ext>
          </a:extLst>
        </xdr:cNvPr>
        <xdr:cNvCxnSpPr/>
      </xdr:nvCxnSpPr>
      <xdr:spPr>
        <a:xfrm rot="5400000" flipH="1" flipV="1">
          <a:off x="9939507" y="14274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D9B6C3-AAD1-86BA-A045-EA3C9D540259}"/>
            </a:ext>
          </a:extLst>
        </xdr:cNvPr>
        <xdr:cNvCxnSpPr/>
      </xdr:nvCxnSpPr>
      <xdr:spPr>
        <a:xfrm rot="5400000" flipH="1" flipV="1">
          <a:off x="9969205" y="1428050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30BEB77-6475-5B5C-A8FE-366AEAB5346B}"/>
            </a:ext>
          </a:extLst>
        </xdr:cNvPr>
        <xdr:cNvCxnSpPr/>
      </xdr:nvCxnSpPr>
      <xdr:spPr>
        <a:xfrm rot="5400000" flipH="1" flipV="1">
          <a:off x="9998910" y="142867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7503567-06D3-F8BC-B946-5243600FA4BF}"/>
            </a:ext>
          </a:extLst>
        </xdr:cNvPr>
        <xdr:cNvCxnSpPr/>
      </xdr:nvCxnSpPr>
      <xdr:spPr>
        <a:xfrm rot="5400000" flipH="1" flipV="1">
          <a:off x="10689237" y="143431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2D12337-682F-E5D5-E384-C1E037A6800D}"/>
            </a:ext>
          </a:extLst>
        </xdr:cNvPr>
        <xdr:cNvCxnSpPr/>
      </xdr:nvCxnSpPr>
      <xdr:spPr>
        <a:xfrm rot="5400000" flipH="1" flipV="1">
          <a:off x="10718935" y="143492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3A1E2AE-E506-DF3A-1AAE-83E6D0426C53}"/>
            </a:ext>
          </a:extLst>
        </xdr:cNvPr>
        <xdr:cNvCxnSpPr/>
      </xdr:nvCxnSpPr>
      <xdr:spPr>
        <a:xfrm rot="5400000" flipH="1" flipV="1">
          <a:off x="10748640" y="1435552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31D66DF5-4230-C210-CE98-C32F80FCA2D3}"/>
            </a:ext>
          </a:extLst>
        </xdr:cNvPr>
        <xdr:cNvCxnSpPr/>
      </xdr:nvCxnSpPr>
      <xdr:spPr>
        <a:xfrm rot="5400000" flipH="1" flipV="1">
          <a:off x="9910741" y="1573137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322CBBA-5A63-A370-A315-4A0D738B6250}"/>
            </a:ext>
          </a:extLst>
        </xdr:cNvPr>
        <xdr:cNvCxnSpPr/>
      </xdr:nvCxnSpPr>
      <xdr:spPr>
        <a:xfrm rot="5400000" flipH="1" flipV="1">
          <a:off x="9940439" y="157375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10A504E-E30E-DC8E-576D-1D36A199B05F}"/>
            </a:ext>
          </a:extLst>
        </xdr:cNvPr>
        <xdr:cNvCxnSpPr/>
      </xdr:nvCxnSpPr>
      <xdr:spPr>
        <a:xfrm rot="5400000" flipH="1" flipV="1">
          <a:off x="9970144" y="157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420F9EC-F78C-B691-C96F-64D4C9E2FEA7}"/>
            </a:ext>
          </a:extLst>
        </xdr:cNvPr>
        <xdr:cNvCxnSpPr/>
      </xdr:nvCxnSpPr>
      <xdr:spPr>
        <a:xfrm rot="5400000" flipH="1" flipV="1">
          <a:off x="10000673" y="157592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77BCB865-A453-10A0-3A57-AE3466C09E3E}"/>
            </a:ext>
          </a:extLst>
        </xdr:cNvPr>
        <xdr:cNvCxnSpPr/>
      </xdr:nvCxnSpPr>
      <xdr:spPr>
        <a:xfrm rot="5400000" flipH="1" flipV="1">
          <a:off x="10647557" y="1576888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C4D9EC4-9762-35A9-81D2-661B6EC38838}"/>
            </a:ext>
          </a:extLst>
        </xdr:cNvPr>
        <xdr:cNvCxnSpPr/>
      </xdr:nvCxnSpPr>
      <xdr:spPr>
        <a:xfrm rot="5400000" flipH="1" flipV="1">
          <a:off x="10677255" y="157750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191282C-B4AE-AA13-10D4-F26CD5CFE63A}"/>
            </a:ext>
          </a:extLst>
        </xdr:cNvPr>
        <xdr:cNvCxnSpPr/>
      </xdr:nvCxnSpPr>
      <xdr:spPr>
        <a:xfrm rot="5400000" flipH="1" flipV="1">
          <a:off x="10706960" y="157813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F230B0FE-D836-17BA-0147-17D48C9820D8}"/>
            </a:ext>
          </a:extLst>
        </xdr:cNvPr>
        <xdr:cNvCxnSpPr/>
      </xdr:nvCxnSpPr>
      <xdr:spPr>
        <a:xfrm rot="5400000" flipH="1" flipV="1">
          <a:off x="10737489" y="157967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682684E3-5861-4C06-76F7-4B45E2C7815A}"/>
            </a:ext>
          </a:extLst>
        </xdr:cNvPr>
        <xdr:cNvSpPr/>
      </xdr:nvSpPr>
      <xdr:spPr>
        <a:xfrm>
          <a:off x="9957962" y="1717860"/>
          <a:ext cx="77932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BCDA780-3356-A40B-9672-FC13E5777278}"/>
            </a:ext>
          </a:extLst>
        </xdr:cNvPr>
        <xdr:cNvSpPr/>
      </xdr:nvSpPr>
      <xdr:spPr>
        <a:xfrm>
          <a:off x="10716498" y="1727082"/>
          <a:ext cx="77932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05FD7DCE-EED5-1AE2-0CC1-E622513083C4}"/>
            </a:ext>
          </a:extLst>
        </xdr:cNvPr>
        <xdr:cNvGrpSpPr/>
      </xdr:nvGrpSpPr>
      <xdr:grpSpPr>
        <a:xfrm>
          <a:off x="9882187" y="2041812"/>
          <a:ext cx="197304" cy="118580"/>
          <a:chOff x="9837964" y="2071666"/>
          <a:chExt cx="197304" cy="122485"/>
        </a:xfrm>
      </xdr:grpSpPr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49498D4D-453F-659C-179E-DA98D242312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E859D07-C1CC-3A17-5C78-ECD1E213DBE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290E6CCE-019C-85C7-09E1-23AF0F7F405F}"/>
            </a:ext>
          </a:extLst>
        </xdr:cNvPr>
        <xdr:cNvGrpSpPr/>
      </xdr:nvGrpSpPr>
      <xdr:grpSpPr>
        <a:xfrm>
          <a:off x="10657114" y="2042396"/>
          <a:ext cx="197304" cy="118562"/>
          <a:chOff x="9837964" y="2071684"/>
          <a:chExt cx="197304" cy="122467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C2B4ABE-5595-7145-6CF7-6008CB8B160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9E6EA729-E2E7-4111-D3AF-19EB9BE8A95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2CA4E38A-5A18-B459-01EB-EC4C2CB17332}"/>
            </a:ext>
          </a:extLst>
        </xdr:cNvPr>
        <xdr:cNvGrpSpPr/>
      </xdr:nvGrpSpPr>
      <xdr:grpSpPr>
        <a:xfrm>
          <a:off x="9820014" y="2210933"/>
          <a:ext cx="316053" cy="82531"/>
          <a:chOff x="9821479" y="2199918"/>
          <a:chExt cx="316053" cy="85250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290FF10-F487-C6C6-94B2-A8ACDDF3D72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79">
            <a:extLst>
              <a:ext uri="{FF2B5EF4-FFF2-40B4-BE49-F238E27FC236}">
                <a16:creationId xmlns:a16="http://schemas.microsoft.com/office/drawing/2014/main" id="{157DC1E8-DB2F-C336-3D9E-AE431E73B8B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80">
            <a:extLst>
              <a:ext uri="{FF2B5EF4-FFF2-40B4-BE49-F238E27FC236}">
                <a16:creationId xmlns:a16="http://schemas.microsoft.com/office/drawing/2014/main" id="{7FA3120A-31ED-7ED0-48D2-6BFCDD01C9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88">
            <a:extLst>
              <a:ext uri="{FF2B5EF4-FFF2-40B4-BE49-F238E27FC236}">
                <a16:creationId xmlns:a16="http://schemas.microsoft.com/office/drawing/2014/main" id="{2DBAEDF4-7D7F-BB39-F552-F89618EB8D2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>
          <a:extLst>
            <a:ext uri="{FF2B5EF4-FFF2-40B4-BE49-F238E27FC236}">
              <a16:creationId xmlns:a16="http://schemas.microsoft.com/office/drawing/2014/main" id="{AF37AE4C-BB81-809A-B414-AF7F7E96A967}"/>
            </a:ext>
          </a:extLst>
        </xdr:cNvPr>
        <xdr:cNvGrpSpPr/>
      </xdr:nvGrpSpPr>
      <xdr:grpSpPr>
        <a:xfrm>
          <a:off x="10590806" y="2210933"/>
          <a:ext cx="316053" cy="82531"/>
          <a:chOff x="9821479" y="2199918"/>
          <a:chExt cx="316053" cy="85250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72011D1-048A-1CDC-AB6D-C4E1E98BD5D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72EA16C-9BBE-07EB-4DAB-8781E9F0BC7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4D99AF7D-6E78-9AB5-E8E2-4492F67989D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9CAEAF3-12EE-A4AF-1AC5-C1DFA6B9913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850DA87-F712-79A5-9A09-CE42D67CFA8F}"/>
            </a:ext>
          </a:extLst>
        </xdr:cNvPr>
        <xdr:cNvCxnSpPr/>
      </xdr:nvCxnSpPr>
      <xdr:spPr>
        <a:xfrm>
          <a:off x="9725527" y="236141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CE988E-9DC1-A600-0AD1-CE69A9AA6A9F}"/>
            </a:ext>
          </a:extLst>
        </xdr:cNvPr>
        <xdr:cNvCxnSpPr/>
      </xdr:nvCxnSpPr>
      <xdr:spPr>
        <a:xfrm>
          <a:off x="10488173" y="236516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081C9A5-FB14-585A-DF2E-89224BFAF864}"/>
            </a:ext>
          </a:extLst>
        </xdr:cNvPr>
        <xdr:cNvCxnSpPr/>
      </xdr:nvCxnSpPr>
      <xdr:spPr>
        <a:xfrm flipV="1">
          <a:off x="9898674" y="2475286"/>
          <a:ext cx="190499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F280ED25-86EE-7A4D-F542-B5582D9C2A1E}"/>
            </a:ext>
          </a:extLst>
        </xdr:cNvPr>
        <xdr:cNvCxnSpPr/>
      </xdr:nvCxnSpPr>
      <xdr:spPr>
        <a:xfrm flipV="1">
          <a:off x="10622574" y="2473858"/>
          <a:ext cx="190499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>
          <a:extLst>
            <a:ext uri="{FF2B5EF4-FFF2-40B4-BE49-F238E27FC236}">
              <a16:creationId xmlns:a16="http://schemas.microsoft.com/office/drawing/2014/main" id="{3B35BAE6-75BA-238B-258A-0641DCB574A4}"/>
            </a:ext>
          </a:extLst>
        </xdr:cNvPr>
        <xdr:cNvGrpSpPr/>
      </xdr:nvGrpSpPr>
      <xdr:grpSpPr>
        <a:xfrm>
          <a:off x="9933529" y="1907901"/>
          <a:ext cx="120949" cy="61028"/>
          <a:chOff x="9933529" y="1884698"/>
          <a:chExt cx="120949" cy="61119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5D6BBFA-7965-245D-F039-18436313FE7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34F69929-FA03-223D-C3BE-4FDCC788FB5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228FAF95-D42E-03D8-A793-D0F6A0F80D5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>
          <a:extLst>
            <a:ext uri="{FF2B5EF4-FFF2-40B4-BE49-F238E27FC236}">
              <a16:creationId xmlns:a16="http://schemas.microsoft.com/office/drawing/2014/main" id="{84EA3657-2121-DE82-49E3-37496943EE80}"/>
            </a:ext>
          </a:extLst>
        </xdr:cNvPr>
        <xdr:cNvGrpSpPr/>
      </xdr:nvGrpSpPr>
      <xdr:grpSpPr>
        <a:xfrm>
          <a:off x="10690412" y="1908592"/>
          <a:ext cx="120949" cy="61028"/>
          <a:chOff x="10690412" y="1882091"/>
          <a:chExt cx="120949" cy="61416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D32131A-06C0-A266-48D7-F73F5EC4077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3DC70035-E96E-5010-B921-638023D1F1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4973EA89-6D47-4E30-563A-048056C7D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272448</xdr:colOff>
      <xdr:row>30</xdr:row>
      <xdr:rowOff>129904</xdr:rowOff>
    </xdr:from>
    <xdr:to>
      <xdr:col>13</xdr:col>
      <xdr:colOff>152580</xdr:colOff>
      <xdr:row>32</xdr:row>
      <xdr:rowOff>8660</xdr:rowOff>
    </xdr:to>
    <xdr:grpSp>
      <xdr:nvGrpSpPr>
        <xdr:cNvPr id="155" name="Group 155">
          <a:extLst>
            <a:ext uri="{FF2B5EF4-FFF2-40B4-BE49-F238E27FC236}">
              <a16:creationId xmlns:a16="http://schemas.microsoft.com/office/drawing/2014/main" id="{495372CE-BD1C-4366-B252-4476CDF5E136}"/>
            </a:ext>
          </a:extLst>
        </xdr:cNvPr>
        <xdr:cNvGrpSpPr/>
      </xdr:nvGrpSpPr>
      <xdr:grpSpPr>
        <a:xfrm>
          <a:off x="4558698" y="4767846"/>
          <a:ext cx="261132" cy="186487"/>
          <a:chOff x="9933529" y="1884698"/>
          <a:chExt cx="120949" cy="61119"/>
        </a:xfrm>
        <a:solidFill>
          <a:schemeClr val="tx1"/>
        </a:solidFill>
      </xdr:grpSpPr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CE19E095-E48B-341D-9559-975DE069FCF5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59">
            <a:extLst>
              <a:ext uri="{FF2B5EF4-FFF2-40B4-BE49-F238E27FC236}">
                <a16:creationId xmlns:a16="http://schemas.microsoft.com/office/drawing/2014/main" id="{1A2E5EB4-E4DA-C8E3-3136-169A5E5A33A3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1" name="Isosceles Triangle 160">
            <a:extLst>
              <a:ext uri="{FF2B5EF4-FFF2-40B4-BE49-F238E27FC236}">
                <a16:creationId xmlns:a16="http://schemas.microsoft.com/office/drawing/2014/main" id="{BD90041A-B587-AE87-83BF-8DC1C8F20A1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</xdr:col>
      <xdr:colOff>261938</xdr:colOff>
      <xdr:row>25</xdr:row>
      <xdr:rowOff>11916</xdr:rowOff>
    </xdr:from>
    <xdr:to>
      <xdr:col>15</xdr:col>
      <xdr:colOff>271096</xdr:colOff>
      <xdr:row>51</xdr:row>
      <xdr:rowOff>43962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30D49365-ABDB-4A4F-9956-02418A2FF0AA}"/>
            </a:ext>
          </a:extLst>
        </xdr:cNvPr>
        <xdr:cNvCxnSpPr/>
      </xdr:nvCxnSpPr>
      <xdr:spPr>
        <a:xfrm>
          <a:off x="357188" y="3880531"/>
          <a:ext cx="5343158" cy="413512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222072</xdr:colOff>
      <xdr:row>29</xdr:row>
      <xdr:rowOff>78719</xdr:rowOff>
    </xdr:from>
    <xdr:to>
      <xdr:col>12</xdr:col>
      <xdr:colOff>92926</xdr:colOff>
      <xdr:row>30</xdr:row>
      <xdr:rowOff>34414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8FC5E180-A0A6-E89B-801D-791157A0DF73}"/>
            </a:ext>
          </a:extLst>
        </xdr:cNvPr>
        <xdr:cNvSpPr/>
      </xdr:nvSpPr>
      <xdr:spPr>
        <a:xfrm rot="1562843">
          <a:off x="4131463" y="4451936"/>
          <a:ext cx="251854" cy="104782"/>
        </a:xfrm>
        <a:prstGeom prst="rect">
          <a:avLst/>
        </a:prstGeom>
        <a:solidFill>
          <a:srgbClr val="C0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7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128139</xdr:colOff>
      <xdr:row>18</xdr:row>
      <xdr:rowOff>41431</xdr:rowOff>
    </xdr:from>
    <xdr:to>
      <xdr:col>16</xdr:col>
      <xdr:colOff>204595</xdr:colOff>
      <xdr:row>30</xdr:row>
      <xdr:rowOff>21981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4BFD1A17-C89E-4248-999A-3B74882831F0}"/>
            </a:ext>
          </a:extLst>
        </xdr:cNvPr>
        <xdr:cNvSpPr txBox="1"/>
      </xdr:nvSpPr>
      <xdr:spPr>
        <a:xfrm>
          <a:off x="4795389" y="2832989"/>
          <a:ext cx="1219456" cy="182693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SYG07-91/5/3</a:t>
          </a:r>
          <a:endParaRPr lang="id-ID" sz="800" b="1" u="sng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2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1 CC7</a:t>
          </a:r>
        </a:p>
        <a:p>
          <a:pPr algn="l"/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1 Trafo 3 Fasa 200 KVA 2 Tiang (G313)             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DB06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CJ6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DS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ARRESTER</a:t>
          </a: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140754</xdr:colOff>
      <xdr:row>30</xdr:row>
      <xdr:rowOff>5575</xdr:rowOff>
    </xdr:from>
    <xdr:to>
      <xdr:col>12</xdr:col>
      <xdr:colOff>291516</xdr:colOff>
      <xdr:row>31</xdr:row>
      <xdr:rowOff>12613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2B2FD8-7364-4FA8-83C5-82AD645BDD0B}"/>
            </a:ext>
          </a:extLst>
        </xdr:cNvPr>
        <xdr:cNvGrpSpPr/>
      </xdr:nvGrpSpPr>
      <xdr:grpSpPr>
        <a:xfrm rot="2121658">
          <a:off x="4427004" y="4643517"/>
          <a:ext cx="150762" cy="1609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FAC12172-635D-EA4A-CF48-DFED17B88D7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EC8CA34-64C2-571A-8938-5996BD20B4B4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40110385-9EC9-3A56-94D4-12F2468003B3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63090</xdr:colOff>
      <xdr:row>31</xdr:row>
      <xdr:rowOff>19876</xdr:rowOff>
    </xdr:from>
    <xdr:to>
      <xdr:col>12</xdr:col>
      <xdr:colOff>213852</xdr:colOff>
      <xdr:row>32</xdr:row>
      <xdr:rowOff>26914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7FC3722B-CB05-44CF-A98B-46205C75AD47}"/>
            </a:ext>
          </a:extLst>
        </xdr:cNvPr>
        <xdr:cNvGrpSpPr/>
      </xdr:nvGrpSpPr>
      <xdr:grpSpPr>
        <a:xfrm rot="2121658">
          <a:off x="4349340" y="4811684"/>
          <a:ext cx="150762" cy="1609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80358E14-5D67-50E9-D220-CA853E94C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C6DB6B93-0145-B30B-3DEF-0DFEDA75FFA7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25039C11-15FB-1C16-9D9C-B41721963D58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279390</xdr:colOff>
      <xdr:row>38</xdr:row>
      <xdr:rowOff>12532</xdr:rowOff>
    </xdr:from>
    <xdr:to>
      <xdr:col>11</xdr:col>
      <xdr:colOff>49152</xdr:colOff>
      <xdr:row>39</xdr:row>
      <xdr:rowOff>6432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984EF865-3DBB-4926-9BBA-72DD978B9AFC}"/>
            </a:ext>
          </a:extLst>
        </xdr:cNvPr>
        <xdr:cNvGrpSpPr/>
      </xdr:nvGrpSpPr>
      <xdr:grpSpPr>
        <a:xfrm rot="2121658">
          <a:off x="3803640" y="5969320"/>
          <a:ext cx="150762" cy="1550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7A697B09-DFBD-84F2-B0A7-E55287F594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A48C27BA-D9C5-A249-76AE-41DFE61A398B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A873E813-BD82-ED76-21AE-F8EBE02FA283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261755</xdr:colOff>
      <xdr:row>39</xdr:row>
      <xdr:rowOff>107327</xdr:rowOff>
    </xdr:from>
    <xdr:to>
      <xdr:col>10</xdr:col>
      <xdr:colOff>31517</xdr:colOff>
      <xdr:row>40</xdr:row>
      <xdr:rowOff>114365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34975314-33D7-4EDB-B447-08E4F23ED420}"/>
            </a:ext>
          </a:extLst>
        </xdr:cNvPr>
        <xdr:cNvGrpSpPr/>
      </xdr:nvGrpSpPr>
      <xdr:grpSpPr>
        <a:xfrm rot="2121658">
          <a:off x="3405005" y="6225308"/>
          <a:ext cx="150762" cy="1609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5B5B3615-0E6F-D8A1-84F5-E865E545DD6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5E8D3363-9D1E-19CA-FAD0-C939C7F12159}"/>
              </a:ext>
            </a:extLst>
          </xdr:cNvPr>
          <xdr:cNvCxnSpPr>
            <a:stCxn id="91" idx="1"/>
            <a:endCxn id="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DA4C7205-3430-DF02-D9CD-EC2CF5D27F6D}"/>
              </a:ext>
            </a:extLst>
          </xdr:cNvPr>
          <xdr:cNvCxnSpPr>
            <a:stCxn id="91" idx="3"/>
            <a:endCxn id="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326589</xdr:colOff>
      <xdr:row>39</xdr:row>
      <xdr:rowOff>4451</xdr:rowOff>
    </xdr:from>
    <xdr:to>
      <xdr:col>10</xdr:col>
      <xdr:colOff>366506</xdr:colOff>
      <xdr:row>39</xdr:row>
      <xdr:rowOff>110538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924C7338-907A-466F-8780-4FD55C6396E8}"/>
            </a:ext>
          </a:extLst>
        </xdr:cNvPr>
        <xdr:cNvCxnSpPr>
          <a:stCxn id="87" idx="5"/>
          <a:endCxn id="91" idx="1"/>
        </xdr:cNvCxnSpPr>
      </xdr:nvCxnSpPr>
      <xdr:spPr>
        <a:xfrm flipH="1">
          <a:off x="3469839" y="6122432"/>
          <a:ext cx="420917" cy="1060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18360</xdr:colOff>
      <xdr:row>30</xdr:row>
      <xdr:rowOff>20202</xdr:rowOff>
    </xdr:from>
    <xdr:to>
      <xdr:col>12</xdr:col>
      <xdr:colOff>262020</xdr:colOff>
      <xdr:row>38</xdr:row>
      <xdr:rowOff>26745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D58F92E-8161-44AE-A54D-934124B0BB03}"/>
            </a:ext>
          </a:extLst>
        </xdr:cNvPr>
        <xdr:cNvCxnSpPr>
          <a:stCxn id="87" idx="0"/>
          <a:endCxn id="10" idx="0"/>
        </xdr:cNvCxnSpPr>
      </xdr:nvCxnSpPr>
      <xdr:spPr>
        <a:xfrm flipV="1">
          <a:off x="3923610" y="4592202"/>
          <a:ext cx="624660" cy="130973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148235</xdr:colOff>
      <xdr:row>32</xdr:row>
      <xdr:rowOff>105910</xdr:rowOff>
    </xdr:from>
    <xdr:to>
      <xdr:col>14</xdr:col>
      <xdr:colOff>197827</xdr:colOff>
      <xdr:row>36</xdr:row>
      <xdr:rowOff>80597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18AA9BBD-BD97-4A70-9531-1E67B62FCB96}"/>
            </a:ext>
          </a:extLst>
        </xdr:cNvPr>
        <xdr:cNvSpPr txBox="1"/>
      </xdr:nvSpPr>
      <xdr:spPr>
        <a:xfrm>
          <a:off x="4434485" y="5051583"/>
          <a:ext cx="811592" cy="67807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SYG07-91/5/2</a:t>
          </a:r>
          <a:endParaRPr lang="id-ID" sz="800" b="1" u="sng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dblStrike" baseline="0">
              <a:solidFill>
                <a:sysClr val="windowText" lastClr="000000"/>
              </a:solidFill>
              <a:latin typeface="+mn-lt"/>
            </a:rPr>
            <a:t>1 C1</a:t>
          </a:r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2</a:t>
          </a:r>
          <a:r>
            <a:rPr lang="id-ID" sz="800" b="0" u="none" strike="dblStrike" baseline="0">
              <a:solidFill>
                <a:sysClr val="windowText" lastClr="000000"/>
              </a:solidFill>
              <a:latin typeface="+mn-lt"/>
            </a:rPr>
            <a:t>-</a:t>
          </a:r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20</a:t>
          </a:r>
          <a:r>
            <a:rPr lang="id-ID" sz="800" b="0" u="none" strike="dblStrike" baseline="0">
              <a:solidFill>
                <a:sysClr val="windowText" lastClr="000000"/>
              </a:solidFill>
              <a:latin typeface="+mn-lt"/>
            </a:rPr>
            <a:t>0 dAN</a:t>
          </a:r>
          <a:endParaRPr lang="en-US" sz="800" b="0" u="none" strike="dbl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1 CC1-A</a:t>
          </a:r>
        </a:p>
        <a:p>
          <a:pPr algn="l"/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1 CJ6</a:t>
          </a:r>
          <a:endParaRPr lang="en-US" sz="800" b="0" u="none" strike="dblStrik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12</xdr:col>
      <xdr:colOff>273783</xdr:colOff>
      <xdr:row>28</xdr:row>
      <xdr:rowOff>114300</xdr:rowOff>
    </xdr:from>
    <xdr:to>
      <xdr:col>12</xdr:col>
      <xdr:colOff>348343</xdr:colOff>
      <xdr:row>30</xdr:row>
      <xdr:rowOff>41640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7D72565B-1382-4777-AF0A-CC465254508F}"/>
            </a:ext>
          </a:extLst>
        </xdr:cNvPr>
        <xdr:cNvCxnSpPr/>
      </xdr:nvCxnSpPr>
      <xdr:spPr>
        <a:xfrm flipV="1">
          <a:off x="4562754" y="4414157"/>
          <a:ext cx="74560" cy="2321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195162</xdr:colOff>
      <xdr:row>28</xdr:row>
      <xdr:rowOff>92213</xdr:rowOff>
    </xdr:from>
    <xdr:ext cx="445058" cy="186269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8655BECA-2FBE-79F5-CA11-43B4ADE11E1B}"/>
            </a:ext>
          </a:extLst>
        </xdr:cNvPr>
        <xdr:cNvSpPr txBox="1"/>
      </xdr:nvSpPr>
      <xdr:spPr>
        <a:xfrm rot="1557497">
          <a:off x="4103133" y="4392070"/>
          <a:ext cx="445058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600">
              <a:solidFill>
                <a:srgbClr val="FF0000"/>
              </a:solidFill>
            </a:rPr>
            <a:t>KUBIKEL</a:t>
          </a:r>
        </a:p>
      </xdr:txBody>
    </xdr:sp>
    <xdr:clientData/>
  </xdr:oneCellAnchor>
  <xdr:twoCellAnchor>
    <xdr:from>
      <xdr:col>9</xdr:col>
      <xdr:colOff>174821</xdr:colOff>
      <xdr:row>23</xdr:row>
      <xdr:rowOff>16938</xdr:rowOff>
    </xdr:from>
    <xdr:to>
      <xdr:col>12</xdr:col>
      <xdr:colOff>251277</xdr:colOff>
      <xdr:row>27</xdr:row>
      <xdr:rowOff>139212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B3B45AF-284E-443E-9EF4-2AB16A96DEC4}"/>
            </a:ext>
          </a:extLst>
        </xdr:cNvPr>
        <xdr:cNvSpPr txBox="1"/>
      </xdr:nvSpPr>
      <xdr:spPr>
        <a:xfrm>
          <a:off x="3318071" y="3577823"/>
          <a:ext cx="1219456" cy="7377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KUBIKEL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APP TM dan PS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KUBIKEL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GROUNDING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9718027" y="812028"/>
          <a:ext cx="1342558" cy="1747618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258536</xdr:colOff>
      <xdr:row>6</xdr:row>
      <xdr:rowOff>81643</xdr:rowOff>
    </xdr:from>
    <xdr:to>
      <xdr:col>17</xdr:col>
      <xdr:colOff>325119</xdr:colOff>
      <xdr:row>45</xdr:row>
      <xdr:rowOff>149678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8A40A9-93DE-7DFF-ED3B-875B77651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020536"/>
          <a:ext cx="8924833" cy="6436178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285750</xdr:colOff>
      <xdr:row>9</xdr:row>
      <xdr:rowOff>104775</xdr:rowOff>
    </xdr:from>
    <xdr:to>
      <xdr:col>7</xdr:col>
      <xdr:colOff>209550</xdr:colOff>
      <xdr:row>18</xdr:row>
      <xdr:rowOff>114300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52962286-B800-223C-72F8-C7224BCE3A82}"/>
            </a:ext>
          </a:extLst>
        </xdr:cNvPr>
        <xdr:cNvCxnSpPr/>
      </xdr:nvCxnSpPr>
      <xdr:spPr>
        <a:xfrm>
          <a:off x="1390650" y="1504950"/>
          <a:ext cx="1752600" cy="1466850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6</xdr:row>
      <xdr:rowOff>126546</xdr:rowOff>
    </xdr:from>
    <xdr:to>
      <xdr:col>5</xdr:col>
      <xdr:colOff>62593</xdr:colOff>
      <xdr:row>9</xdr:row>
      <xdr:rowOff>114300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75B83AB7-D3E1-4678-A560-A8B26B91744C}"/>
            </a:ext>
          </a:extLst>
        </xdr:cNvPr>
        <xdr:cNvCxnSpPr/>
      </xdr:nvCxnSpPr>
      <xdr:spPr>
        <a:xfrm flipH="1">
          <a:off x="1362075" y="1040946"/>
          <a:ext cx="415018" cy="473529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35378</xdr:colOff>
      <xdr:row>6</xdr:row>
      <xdr:rowOff>140153</xdr:rowOff>
    </xdr:from>
    <xdr:to>
      <xdr:col>9</xdr:col>
      <xdr:colOff>47625</xdr:colOff>
      <xdr:row>7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737B657-467B-4A11-AC91-CC95E9B38842}"/>
            </a:ext>
          </a:extLst>
        </xdr:cNvPr>
        <xdr:cNvCxnSpPr/>
      </xdr:nvCxnSpPr>
      <xdr:spPr>
        <a:xfrm>
          <a:off x="1749878" y="1054553"/>
          <a:ext cx="2450647" cy="2177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6</xdr:row>
      <xdr:rowOff>137328</xdr:rowOff>
    </xdr:from>
    <xdr:to>
      <xdr:col>9</xdr:col>
      <xdr:colOff>98809</xdr:colOff>
      <xdr:row>18</xdr:row>
      <xdr:rowOff>104775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A866A6EA-9B1F-4737-82B5-E8560C84BF54}"/>
            </a:ext>
          </a:extLst>
        </xdr:cNvPr>
        <xdr:cNvCxnSpPr/>
      </xdr:nvCxnSpPr>
      <xdr:spPr>
        <a:xfrm flipV="1">
          <a:off x="3124200" y="1051728"/>
          <a:ext cx="1127509" cy="1910547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503465</xdr:colOff>
      <xdr:row>46</xdr:row>
      <xdr:rowOff>95251</xdr:rowOff>
    </xdr:from>
    <xdr:to>
      <xdr:col>17</xdr:col>
      <xdr:colOff>322038</xdr:colOff>
      <xdr:row>65</xdr:row>
      <xdr:rowOff>71439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A238825-12A5-1D10-EFF2-D53E7930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3179" y="7565572"/>
          <a:ext cx="4104823" cy="3078617"/>
        </a:xfrm>
        <a:prstGeom prst="rect">
          <a:avLst/>
        </a:prstGeom>
      </xdr:spPr>
    </xdr:pic>
    <xdr:clientData/>
  </xdr:twoCellAnchor>
  <xdr:twoCellAnchor editAs="oneCell">
    <xdr:from>
      <xdr:col>17</xdr:col>
      <xdr:colOff>435750</xdr:colOff>
      <xdr:row>6</xdr:row>
      <xdr:rowOff>68035</xdr:rowOff>
    </xdr:from>
    <xdr:to>
      <xdr:col>24</xdr:col>
      <xdr:colOff>353785</xdr:colOff>
      <xdr:row>45</xdr:row>
      <xdr:rowOff>149677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18A385-639E-8874-B1FE-463FD0886F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12"/>
        <a:stretch/>
      </xdr:blipFill>
      <xdr:spPr>
        <a:xfrm>
          <a:off x="9511714" y="1006928"/>
          <a:ext cx="4149857" cy="6449785"/>
        </a:xfrm>
        <a:prstGeom prst="rect">
          <a:avLst/>
        </a:prstGeom>
      </xdr:spPr>
    </xdr:pic>
    <xdr:clientData/>
  </xdr:twoCellAnchor>
  <xdr:twoCellAnchor editAs="oneCell">
    <xdr:from>
      <xdr:col>17</xdr:col>
      <xdr:colOff>422464</xdr:colOff>
      <xdr:row>46</xdr:row>
      <xdr:rowOff>95893</xdr:rowOff>
    </xdr:from>
    <xdr:to>
      <xdr:col>24</xdr:col>
      <xdr:colOff>312963</xdr:colOff>
      <xdr:row>65</xdr:row>
      <xdr:rowOff>85205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E790C6A-E921-DDB4-541C-F68C7DE1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8428" y="7566214"/>
          <a:ext cx="4122321" cy="309174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5" activePane="bottomRight" state="frozen"/>
      <selection activeCell="D209" sqref="D209"/>
      <selection pane="topRight" activeCell="D209" sqref="D209"/>
      <selection pane="bottomLeft" activeCell="D209" sqref="D209"/>
      <selection pane="bottomRight" activeCell="D190" sqref="D19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3.8554687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8" t="s">
        <v>33</v>
      </c>
      <c r="C2" s="52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9" t="s">
        <v>13</v>
      </c>
      <c r="C4" s="530" t="s">
        <v>986</v>
      </c>
      <c r="D4" s="530" t="s">
        <v>34</v>
      </c>
      <c r="E4" s="529" t="s">
        <v>35</v>
      </c>
      <c r="F4" s="108" t="s">
        <v>1574</v>
      </c>
      <c r="G4" s="108" t="s">
        <v>1573</v>
      </c>
      <c r="H4" s="527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9"/>
      <c r="C5" s="530"/>
      <c r="D5" s="530"/>
      <c r="E5" s="529"/>
      <c r="F5" s="93"/>
      <c r="G5" s="93"/>
      <c r="H5" s="527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139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(IF(D8="JASA",G8*'[162]DETAIL USULAN'!$K$58,0))+(IF(D8="HDW",G8*'[162]DETAIL USULAN'!$J$58,0))+(IF(D8="MDU",G8*'[162]DETAIL USULAN'!$I$58,0))+(IF(D8="MDU-KD",G8*'[162]DETAIL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37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0</v>
      </c>
      <c r="K188" s="155">
        <f t="shared" si="13"/>
        <v>1</v>
      </c>
      <c r="L188" s="155">
        <f>IF(J188=1,SUM($J$6:J188),0)</f>
        <v>0</v>
      </c>
      <c r="M188" s="155">
        <f>IF(K188=1,SUM($K$6:K188),0)</f>
        <v>201227105.79893059</v>
      </c>
      <c r="N188" s="165">
        <f t="shared" si="14"/>
        <v>201227105.79893059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37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0</v>
      </c>
      <c r="K189" s="155">
        <f>IF(D189="HDW",1,0)</f>
        <v>1</v>
      </c>
      <c r="L189" s="155">
        <f>IF(J189=1,SUM($J$6:J189),0)</f>
        <v>0</v>
      </c>
      <c r="M189" s="155">
        <f>IF(K189=1,SUM($K$6:K189),0)</f>
        <v>201227106.79893059</v>
      </c>
      <c r="N189" s="165">
        <f>IF(L189=0,M189,L189)</f>
        <v>201227106.79893059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37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0</v>
      </c>
      <c r="K190" s="155">
        <f t="shared" si="13"/>
        <v>1</v>
      </c>
      <c r="L190" s="155">
        <f>IF(J190=1,SUM($J$6:J190),0)</f>
        <v>0</v>
      </c>
      <c r="M190" s="155">
        <f>IF(K190=1,SUM($K$6:K190),0)</f>
        <v>201227107.79893059</v>
      </c>
      <c r="N190" s="165">
        <f t="shared" si="14"/>
        <v>201227107.79893059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107</v>
      </c>
      <c r="M193" s="155">
        <f>IF(K193=1,SUM($K$6:K193),0)</f>
        <v>0</v>
      </c>
      <c r="N193" s="165">
        <f t="shared" si="14"/>
        <v>107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108</v>
      </c>
      <c r="M194" s="155">
        <f>IF(K194=1,SUM($K$6:K194),0)</f>
        <v>0</v>
      </c>
      <c r="N194" s="165">
        <f t="shared" si="14"/>
        <v>108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109</v>
      </c>
      <c r="M215" s="155">
        <f>IF(K215=1,SUM($K$6:K215),0)</f>
        <v>0</v>
      </c>
      <c r="N215" s="165">
        <f t="shared" si="19"/>
        <v>109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110</v>
      </c>
      <c r="M216" s="155">
        <f>IF(K216=1,SUM($K$6:K216),0)</f>
        <v>0</v>
      </c>
      <c r="N216" s="165">
        <f>IF(L216=0,M216,L216)</f>
        <v>110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111</v>
      </c>
      <c r="M217" s="155">
        <f>IF(K217=1,SUM($K$6:K217),0)</f>
        <v>0</v>
      </c>
      <c r="N217" s="165">
        <f t="shared" si="19"/>
        <v>111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112</v>
      </c>
      <c r="M218" s="155">
        <f>IF(K218=1,SUM($K$6:K218),0)</f>
        <v>0</v>
      </c>
      <c r="N218" s="165">
        <f>IF(L218=0,M218,L218)</f>
        <v>112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113</v>
      </c>
      <c r="M219" s="155">
        <f>IF(K219=1,SUM($K$6:K219),0)</f>
        <v>0</v>
      </c>
      <c r="N219" s="165">
        <f t="shared" si="19"/>
        <v>113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114</v>
      </c>
      <c r="M220" s="155">
        <f>IF(K220=1,SUM($K$6:K220),0)</f>
        <v>0</v>
      </c>
      <c r="N220" s="165">
        <f t="shared" si="19"/>
        <v>114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115</v>
      </c>
      <c r="M221" s="155">
        <f>IF(K221=1,SUM($K$6:K221),0)</f>
        <v>0</v>
      </c>
      <c r="N221" s="165">
        <f>IF(L221=0,M221,L221)</f>
        <v>115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116</v>
      </c>
      <c r="M224" s="155">
        <f>IF(K224=1,SUM($K$6:K224),0)</f>
        <v>0</v>
      </c>
      <c r="N224" s="165">
        <f t="shared" si="19"/>
        <v>116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117</v>
      </c>
      <c r="M225" s="155">
        <f>IF(K225=1,SUM($K$6:K225),0)</f>
        <v>0</v>
      </c>
      <c r="N225" s="165">
        <f t="shared" si="19"/>
        <v>117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118</v>
      </c>
      <c r="M226" s="155">
        <f>IF(K226=1,SUM($K$6:K226),0)</f>
        <v>0</v>
      </c>
      <c r="N226" s="165">
        <f t="shared" si="19"/>
        <v>118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119</v>
      </c>
      <c r="M227" s="155">
        <f>IF(K227=1,SUM($K$6:K227),0)</f>
        <v>0</v>
      </c>
      <c r="N227" s="165">
        <f t="shared" si="19"/>
        <v>119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120</v>
      </c>
      <c r="M228" s="155">
        <f>IF(K228=1,SUM($K$6:K228),0)</f>
        <v>0</v>
      </c>
      <c r="N228" s="165">
        <f t="shared" si="19"/>
        <v>120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121</v>
      </c>
      <c r="M229" s="155">
        <f>IF(K229=1,SUM($K$6:K229),0)</f>
        <v>0</v>
      </c>
      <c r="N229" s="165">
        <f t="shared" si="19"/>
        <v>121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122</v>
      </c>
      <c r="M232" s="155">
        <f>IF(K232=1,SUM($K$6:K232),0)</f>
        <v>0</v>
      </c>
      <c r="N232" s="165">
        <f t="shared" si="19"/>
        <v>122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123</v>
      </c>
      <c r="M233" s="155">
        <f>IF(K233=1,SUM($K$6:K233),0)</f>
        <v>0</v>
      </c>
      <c r="N233" s="165">
        <f>IF(L233=0,M233,L233)</f>
        <v>123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124</v>
      </c>
      <c r="M234" s="155">
        <f>IF(K234=1,SUM($K$6:K234),0)</f>
        <v>0</v>
      </c>
      <c r="N234" s="165">
        <f t="shared" si="19"/>
        <v>124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125</v>
      </c>
      <c r="M235" s="155">
        <f>IF(K235=1,SUM($K$6:K235),0)</f>
        <v>0</v>
      </c>
      <c r="N235" s="165">
        <f t="shared" si="19"/>
        <v>125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126</v>
      </c>
      <c r="M236" s="155">
        <f>IF(K236=1,SUM($K$6:K236),0)</f>
        <v>0</v>
      </c>
      <c r="N236" s="165">
        <f t="shared" si="19"/>
        <v>126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128</v>
      </c>
      <c r="M240" s="155">
        <f>IF(K240=1,SUM($K$6:K240),0)</f>
        <v>0</v>
      </c>
      <c r="N240" s="165">
        <f t="shared" si="19"/>
        <v>128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129</v>
      </c>
      <c r="M242" s="155">
        <f>IF(K242=1,SUM($K$6:K242),0)</f>
        <v>0</v>
      </c>
      <c r="N242" s="165">
        <f t="shared" si="19"/>
        <v>129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130</v>
      </c>
      <c r="M248" s="155">
        <f>IF(K248=1,SUM($K$6:K248),0)</f>
        <v>0</v>
      </c>
      <c r="N248" s="165">
        <f t="shared" si="19"/>
        <v>130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131</v>
      </c>
      <c r="M249" s="155">
        <f>IF(K249=1,SUM($K$6:K249),0)</f>
        <v>0</v>
      </c>
      <c r="N249" s="165">
        <f t="shared" si="19"/>
        <v>131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132</v>
      </c>
      <c r="M250" s="155">
        <f>IF(K250=1,SUM($K$6:K250),0)</f>
        <v>0</v>
      </c>
      <c r="N250" s="165">
        <f t="shared" si="19"/>
        <v>132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133</v>
      </c>
      <c r="M251" s="155">
        <f>IF(K251=1,SUM($K$6:K251),0)</f>
        <v>0</v>
      </c>
      <c r="N251" s="165">
        <f t="shared" si="19"/>
        <v>133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134</v>
      </c>
      <c r="M254" s="155">
        <f>IF(K254=1,SUM($K$6:K254),0)</f>
        <v>0</v>
      </c>
      <c r="N254" s="165">
        <f t="shared" si="19"/>
        <v>134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135</v>
      </c>
      <c r="M264" s="155">
        <f>IF(K264=1,SUM($K$6:K264),0)</f>
        <v>0</v>
      </c>
      <c r="N264" s="165">
        <f t="shared" si="19"/>
        <v>135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136</v>
      </c>
      <c r="M265" s="155">
        <f>IF(K265=1,SUM($K$6:K265),0)</f>
        <v>0</v>
      </c>
      <c r="N265" s="165">
        <f t="shared" si="19"/>
        <v>136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137</v>
      </c>
      <c r="M266" s="155">
        <f>IF(K266=1,SUM($K$6:K266),0)</f>
        <v>0</v>
      </c>
      <c r="N266" s="165">
        <f t="shared" si="19"/>
        <v>137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138</v>
      </c>
      <c r="M276" s="155">
        <f>IF(K276=1,SUM($K$6:K276),0)</f>
        <v>0</v>
      </c>
      <c r="N276" s="165">
        <f t="shared" si="25"/>
        <v>138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139</v>
      </c>
      <c r="M277" s="155">
        <f>IF(K277=1,SUM($K$6:K277),0)</f>
        <v>0</v>
      </c>
      <c r="N277" s="165">
        <f t="shared" si="25"/>
        <v>139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189 B233:G1044 B1049:G1456 B1459:G1510 D189:G189 B8:G188 B190:G215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8" priority="12" operator="equal">
      <formula>0</formula>
    </cfRule>
  </conditionalFormatting>
  <conditionalFormatting sqref="B189 E189:G189">
    <cfRule type="cellIs" dxfId="67" priority="53" operator="equal">
      <formula>0</formula>
    </cfRule>
  </conditionalFormatting>
  <conditionalFormatting sqref="B216 D216:G216">
    <cfRule type="cellIs" dxfId="66" priority="62" operator="equal">
      <formula>0</formula>
    </cfRule>
  </conditionalFormatting>
  <conditionalFormatting sqref="B8:C135">
    <cfRule type="cellIs" dxfId="65" priority="119" operator="equal">
      <formula>0</formula>
    </cfRule>
  </conditionalFormatting>
  <conditionalFormatting sqref="B1045:C1065">
    <cfRule type="cellIs" dxfId="64" priority="20" operator="equal">
      <formula>0</formula>
    </cfRule>
  </conditionalFormatting>
  <conditionalFormatting sqref="B1066:E1510">
    <cfRule type="cellIs" dxfId="63" priority="6" operator="equal">
      <formula>0</formula>
    </cfRule>
  </conditionalFormatting>
  <conditionalFormatting sqref="B217:G231">
    <cfRule type="cellIs" dxfId="62" priority="59" operator="equal">
      <formula>0</formula>
    </cfRule>
  </conditionalFormatting>
  <conditionalFormatting sqref="B233:G1044">
    <cfRule type="cellIs" dxfId="61" priority="13" operator="equal">
      <formula>0</formula>
    </cfRule>
  </conditionalFormatting>
  <conditionalFormatting sqref="C143:G149">
    <cfRule type="cellIs" dxfId="60" priority="73" operator="equal">
      <formula>0</formula>
    </cfRule>
  </conditionalFormatting>
  <conditionalFormatting sqref="D1049:E1065">
    <cfRule type="cellIs" dxfId="59" priority="23" operator="equal">
      <formula>0</formula>
    </cfRule>
  </conditionalFormatting>
  <conditionalFormatting sqref="D1045:F1048">
    <cfRule type="cellIs" dxfId="58" priority="32" operator="equal">
      <formula>0</formula>
    </cfRule>
  </conditionalFormatting>
  <conditionalFormatting sqref="D9:G142">
    <cfRule type="cellIs" dxfId="57" priority="79" operator="equal">
      <formula>0</formula>
    </cfRule>
  </conditionalFormatting>
  <conditionalFormatting sqref="D1:IV5 A1:C7 D6:K6 H1459:IV1474 H1475:XFD1502 H1503:H1510 I1503:XFD1511 A1511:H1511 A1512:XFD65553">
    <cfRule type="cellIs" dxfId="56" priority="231" operator="equal">
      <formula>0</formula>
    </cfRule>
  </conditionalFormatting>
  <conditionalFormatting sqref="D7:IV8 C136:C142 B136:B149 B150:G187 B191:G215 B232 D232:G232 B188:C188 E188:G188 B190:C190 E190:G190">
    <cfRule type="cellIs" dxfId="55" priority="130" operator="equal">
      <formula>0</formula>
    </cfRule>
  </conditionalFormatting>
  <conditionalFormatting sqref="F1049:F1510">
    <cfRule type="cellIs" dxfId="54" priority="5" operator="equal">
      <formula>0</formula>
    </cfRule>
  </conditionalFormatting>
  <conditionalFormatting sqref="G1045:G1510">
    <cfRule type="cellIs" dxfId="53" priority="4" operator="equal">
      <formula>0</formula>
    </cfRule>
  </conditionalFormatting>
  <conditionalFormatting sqref="H9:H1433">
    <cfRule type="cellIs" dxfId="52" priority="14" operator="equal">
      <formula>0</formula>
    </cfRule>
  </conditionalFormatting>
  <conditionalFormatting sqref="H1434:I1458">
    <cfRule type="cellIs" dxfId="51" priority="8" operator="equal">
      <formula>0</formula>
    </cfRule>
  </conditionalFormatting>
  <conditionalFormatting sqref="I1053:I1433">
    <cfRule type="cellIs" dxfId="50" priority="193" operator="equal">
      <formula>0</formula>
    </cfRule>
  </conditionalFormatting>
  <conditionalFormatting sqref="I9:IV1052">
    <cfRule type="cellIs" dxfId="49" priority="15" operator="equal">
      <formula>0</formula>
    </cfRule>
  </conditionalFormatting>
  <conditionalFormatting sqref="M6:IV6">
    <cfRule type="cellIs" dxfId="48" priority="208" operator="equal">
      <formula>0</formula>
    </cfRule>
  </conditionalFormatting>
  <conditionalFormatting sqref="D189">
    <cfRule type="cellIs" dxfId="47" priority="3" operator="equal">
      <formula>0</formula>
    </cfRule>
  </conditionalFormatting>
  <conditionalFormatting sqref="D188">
    <cfRule type="cellIs" dxfId="46" priority="2" operator="equal">
      <formula>0</formula>
    </cfRule>
  </conditionalFormatting>
  <conditionalFormatting sqref="D190">
    <cfRule type="cellIs" dxfId="45" priority="1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1459:D1510 D1049:D1456 D8:D1044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A12" sqref="A12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Standart'!C2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8" t="s">
        <v>1107</v>
      </c>
      <c r="C4" s="538"/>
      <c r="D4" s="538"/>
      <c r="E4" s="538"/>
      <c r="F4" s="538"/>
      <c r="G4" s="538"/>
      <c r="H4" s="53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9" t="s">
        <v>0</v>
      </c>
      <c r="C7" s="539" t="s">
        <v>1</v>
      </c>
      <c r="D7" s="540" t="s">
        <v>34</v>
      </c>
      <c r="E7" s="540" t="s">
        <v>35</v>
      </c>
      <c r="F7" s="540" t="s">
        <v>1108</v>
      </c>
      <c r="G7" s="541" t="s">
        <v>33</v>
      </c>
      <c r="H7" s="537" t="s">
        <v>1015</v>
      </c>
      <c r="I7" s="537" t="s">
        <v>1110</v>
      </c>
      <c r="J7" s="537" t="s">
        <v>999</v>
      </c>
      <c r="K7" s="531" t="s">
        <v>997</v>
      </c>
      <c r="L7" s="532"/>
    </row>
    <row r="8" spans="1:12" ht="15" customHeight="1">
      <c r="B8" s="539"/>
      <c r="C8" s="539"/>
      <c r="D8" s="540"/>
      <c r="E8" s="540"/>
      <c r="F8" s="540"/>
      <c r="G8" s="541"/>
      <c r="H8" s="537"/>
      <c r="I8" s="537"/>
      <c r="J8" s="537"/>
      <c r="K8" s="533"/>
      <c r="L8" s="534"/>
    </row>
    <row r="9" spans="1:12" ht="15" customHeight="1">
      <c r="B9" s="539"/>
      <c r="C9" s="539"/>
      <c r="D9" s="540"/>
      <c r="E9" s="540"/>
      <c r="F9" s="540"/>
      <c r="G9" s="541"/>
      <c r="H9" s="537"/>
      <c r="I9" s="537"/>
      <c r="J9" s="537"/>
      <c r="K9" s="535"/>
      <c r="L9" s="53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Unit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Cell</v>
      </c>
      <c r="F16" s="138">
        <f t="shared" ca="1" si="2"/>
        <v>1</v>
      </c>
      <c r="G16" s="41">
        <f ca="1">IF(ISERROR(OFFSET('HARGA SATUAN'!$I$6,MATCH(C16,'HARGA SATUAN'!$C$7:$C$1509,0),0)),"",OFFSET('HARGA SATUAN'!$I$6,MATCH(C16,'HARGA SATUAN'!$C$7:$C$1509,0),0))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Cell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Lightning Arester (Polymer) 21 KV, 10 KA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38">
        <f t="shared" ca="1" si="2"/>
        <v>6</v>
      </c>
      <c r="G18" s="41">
        <f ca="1">IF(ISERROR(OFFSET('HARGA SATUAN'!$I$6,MATCH(C18,'HARGA SATUAN'!$C$7:$C$1509,0),0)),"",OFFSET('HARGA SATUAN'!$I$6,MATCH(C18,'HARGA SATUAN'!$C$7:$C$1509,0),0))</f>
        <v>725900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38">
        <f t="shared" ca="1" si="2"/>
        <v>16</v>
      </c>
      <c r="G19" s="41">
        <f ca="1">IF(ISERROR(OFFSET('HARGA SATUAN'!$I$6,MATCH(C19,'HARGA SATUAN'!$C$7:$C$1509,0),0)),"",OFFSET('HARGA SATUAN'!$I$6,MATCH(C19,'HARGA SATUAN'!$C$7:$C$1509,0),0))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38">
        <f t="shared" ca="1" si="2"/>
        <v>35</v>
      </c>
      <c r="G20" s="41">
        <f ca="1">IF(ISERROR(OFFSET('HARGA SATUAN'!$I$6,MATCH(C20,'HARGA SATUAN'!$C$7:$C$1509,0),0)),"",OFFSET('HARGA SATUAN'!$I$6,MATCH(C20,'HARGA SATUAN'!$C$7:$C$1509,0),0))</f>
        <v>4300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38">
        <f t="shared" ca="1" si="2"/>
        <v>25</v>
      </c>
      <c r="G21" s="41">
        <f ca="1">IF(ISERROR(OFFSET('HARGA SATUAN'!$I$6,MATCH(C21,'HARGA SATUAN'!$C$7:$C$1509,0),0)),"",OFFSET('HARGA SATUAN'!$I$6,MATCH(C21,'HARGA SATUAN'!$C$7:$C$1509,0),0))</f>
        <v>94700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SATUAN'!$C$7:$C$1509,0),0)),"",OFFSET('HARGA SATUAN'!$D$6,MATCH(C22,'HARGA SATUAN'!$C$7:$C$1509,0),0))</f>
        <v>HDW</v>
      </c>
      <c r="E22" s="101" t="str">
        <f ca="1">IF(B22="+","Unit",IF(ISERROR(OFFSET('HARGA SATUAN'!$E$6,MATCH(C22,'HARGA SATUAN'!$C$7:$C$1509,0),0)),"",OFFSET('HARGA SATUAN'!$E$6,MATCH(C22,'HARGA SATUAN'!$C$7:$C$1509,0),0)))</f>
        <v>Unit</v>
      </c>
      <c r="F22" s="138">
        <f t="shared" ca="1" si="2"/>
        <v>1</v>
      </c>
      <c r="G22" s="41">
        <f ca="1">IF(ISERROR(OFFSET('HARGA SATUAN'!$I$6,MATCH(C22,'HARGA SATUAN'!$C$7:$C$1509,0),0)),"",OFFSET('HARGA SATUAN'!$I$6,MATCH(C22,'HARGA SATUAN'!$C$7:$C$1509,0),0))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Standart'!$F$14:$F$142,'RAB Standart'!$C$14:$C$142,C714)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Standart'!$F$14:$F$142,'RAB Standart'!$C$14:$C$142,C715)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Standart'!$F$14:$F$142,'RAB Standart'!$C$14:$C$142,C716)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Standart'!$F$14:$F$142,'RAB Standart'!$C$14:$C$142,C717)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Standart'!$F$14:$F$142,'RAB Standart'!$C$14:$C$142,C718)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Standart'!$F$14:$F$142,'RAB Standart'!$C$14:$C$142,C719)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Standart'!$F$14:$F$142,'RAB Standart'!$C$14:$C$142,C720)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Standart'!$F$14:$F$142,'RAB Standart'!$C$14:$C$142,C721)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Standart'!$F$14:$F$142,'RAB Standart'!$C$14:$C$142,C722)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Standart'!$F$14:$F$142,'RAB Standart'!$C$14:$C$142,C723)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Standart'!$F$14:$F$142,'RAB Standart'!$C$14:$C$142,C724)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Standart'!$F$14:$F$142,'RAB Standart'!$C$14:$C$142,C725)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Standart'!$F$14:$F$142,'RAB Standart'!$C$14:$C$142,C726)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Standart'!$F$14:$F$142,'RAB Standart'!$C$14:$C$142,C727)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Standart'!$F$14:$F$142,'RAB Standart'!$C$14:$C$142,C728)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Standart'!$F$14:$F$142,'RAB Standart'!$C$14:$C$142,C729)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Standart'!$F$14:$F$142,'RAB Standart'!$C$14:$C$142,C730)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Standart'!$F$14:$F$142,'RAB Standart'!$C$14:$C$142,C731)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Standart'!$F$14:$F$142,'RAB Standart'!$C$14:$C$142,C732)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Standart'!$F$14:$F$142,'RAB Standart'!$C$14:$C$142,C733)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Standart'!$F$14:$F$142,'RAB Standart'!$C$14:$C$142,C734)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Standart'!$F$14:$F$142,'RAB Standart'!$C$14:$C$142,C735)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Standart'!$F$14:$F$142,'RAB Standart'!$C$14:$C$142,C736)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Standart'!$F$14:$F$142,'RAB Standart'!$C$14:$C$142,C737)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Standart'!$F$14:$F$142,'RAB Standart'!$C$14:$C$142,C738)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Standart'!$F$14:$F$142,'RAB Standart'!$C$14:$C$142,C739)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Standart'!$F$14:$F$142,'RAB Standart'!$C$14:$C$142,C740)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Standart'!$F$14:$F$142,'RAB Standart'!$C$14:$C$142,C741)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Standart'!$F$14:$F$142,'RAB Standart'!$C$14:$C$142,C742)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Standart'!$F$14:$F$142,'RAB Standart'!$C$14:$C$142,C743)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Standart'!$F$14:$F$142,'RAB Standart'!$C$14:$C$142,C744)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Standart'!$F$14:$F$142,'RAB Standart'!$C$14:$C$142,C745)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Standart'!$F$14:$F$142,'RAB Standart'!$C$14:$C$142,C746)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Standart'!$F$14:$F$142,'RAB Standart'!$C$14:$C$142,C747)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Standart'!$F$14:$F$142,'RAB Standart'!$C$14:$C$142,C748)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Standart'!$F$14:$F$142,'RAB Standart'!$C$14:$C$142,C749)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Standart'!$F$14:$F$142,'RAB Standart'!$C$14:$C$142,C750)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Standart'!$F$14:$F$142,'RAB Standart'!$C$14:$C$142,C751)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Standart'!$F$14:$F$142,'RAB Standart'!$C$14:$C$142,C752)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Standart'!$F$14:$F$142,'RAB Standart'!$C$14:$C$142,C753)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Standart'!$F$14:$F$142,'RAB Standart'!$C$14:$C$142,C754)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Standart'!$F$14:$F$142,'RAB Standart'!$C$14:$C$142,C755)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Standart'!$F$14:$F$142,'RAB Standart'!$C$14:$C$142,C756)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Standart'!$F$14:$F$142,'RAB Standart'!$C$14:$C$142,C757)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Standart'!$F$14:$F$142,'RAB Standart'!$C$14:$C$142,C758)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Standart'!$F$14:$F$142,'RAB Standart'!$C$14:$C$142,C759)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Standart'!$F$14:$F$142,'RAB Standart'!$C$14:$C$142,C760)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Standart'!$F$14:$F$142,'RAB Standart'!$C$14:$C$142,C761)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Standart'!$F$14:$F$142,'RAB Standart'!$C$14:$C$142,C762)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Standart'!$F$14:$F$142,'RAB Standart'!$C$14:$C$142,C763)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Standart'!$F$14:$F$142,'RAB Standart'!$C$14:$C$142,C764)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Standart'!$F$14:$F$142,'RAB Standart'!$C$14:$C$142,C765)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Standart'!$F$14:$F$142,'RAB Standart'!$C$14:$C$142,C766)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Standart'!$F$14:$F$142,'RAB Standart'!$C$14:$C$142,C767)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Standart'!$F$14:$F$142,'RAB Standart'!$C$14:$C$142,C768)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Standart'!$F$14:$F$142,'RAB Standart'!$C$14:$C$142,C769)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Standart'!$F$14:$F$142,'RAB Standart'!$C$14:$C$142,C770)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Standart'!$F$14:$F$142,'RAB Standart'!$C$14:$C$142,C771)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Standart'!$F$14:$F$142,'RAB Standart'!$C$14:$C$142,C772)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Standart'!$F$14:$F$142,'RAB Standart'!$C$14:$C$142,C773)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Standart'!$F$14:$F$142,'RAB Standart'!$C$14:$C$142,C774)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Standart'!$F$14:$F$142,'RAB Standart'!$C$14:$C$142,C775)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Standart'!$F$14:$F$142,'RAB Standart'!$C$14:$C$142,C776)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Standart'!$F$14:$F$142,'RAB Standart'!$C$14:$C$142,C777)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Standart'!$F$14:$F$142,'RAB Standart'!$C$14:$C$142,C778)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Standart'!$F$14:$F$142,'RAB Standart'!$C$14:$C$142,C779)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Standart'!$F$14:$F$142,'RAB Standart'!$C$14:$C$142,C780)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Standart'!$F$14:$F$142,'RAB Standart'!$C$14:$C$142,C781)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Standart'!$F$14:$F$142,'RAB Standart'!$C$14:$C$142,C782)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Standart'!$F$14:$F$142,'RAB Standart'!$C$14:$C$142,C783)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Standart'!$F$14:$F$142,'RAB Standart'!$C$14:$C$142,C784)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Standart'!$F$14:$F$142,'RAB Standart'!$C$14:$C$142,C785)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Standart'!$F$14:$F$142,'RAB Standart'!$C$14:$C$142,C786)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Standart'!$F$14:$F$142,'RAB Standart'!$C$14:$C$142,C787)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Standart'!$F$14:$F$142,'RAB Standart'!$C$14:$C$142,C788)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Standart'!$F$14:$F$142,'RAB Standart'!$C$14:$C$142,C789)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Standart'!$F$14:$F$142,'RAB Standart'!$C$14:$C$142,C790)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Standart'!$F$14:$F$142,'RAB Standart'!$C$14:$C$142,C791)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Standart'!$F$14:$F$142,'RAB Standart'!$C$14:$C$142,C792)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Standart'!$F$14:$F$142,'RAB Standart'!$C$14:$C$142,C793)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Standart'!$F$14:$F$142,'RAB Standart'!$C$14:$C$142,C794)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Standart'!$F$14:$F$142,'RAB Standart'!$C$14:$C$142,C795)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Standart'!$F$14:$F$142,'RAB Standart'!$C$14:$C$142,C796)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Standart'!$F$14:$F$142,'RAB Standart'!$C$14:$C$142,C797)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Standart'!$F$14:$F$142,'RAB Standart'!$C$14:$C$142,C798)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Standart'!$F$14:$F$142,'RAB Standart'!$C$14:$C$142,C799)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Standart'!$F$14:$F$142,'RAB Standart'!$C$14:$C$142,C800)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Standart'!$F$14:$F$142,'RAB Standart'!$C$14:$C$142,C801)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Standart'!$F$14:$F$142,'RAB Standart'!$C$14:$C$142,C802)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Standart'!$F$14:$F$142,'RAB Standart'!$C$14:$C$142,C803)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Standart'!$F$14:$F$142,'RAB Standart'!$C$14:$C$142,C804)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Standart'!$F$14:$F$142,'RAB Standart'!$C$14:$C$142,C805)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Standart'!$F$14:$F$142,'RAB Standart'!$C$14:$C$142,C806)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Standart'!$F$14:$F$142,'RAB Standart'!$C$14:$C$142,C807)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Standart'!$F$14:$F$142,'RAB Standart'!$C$14:$C$142,C808)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Standart'!$F$14:$F$142,'RAB Standart'!$C$14:$C$142,C809)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Standart'!$F$14:$F$142,'RAB Standart'!$C$14:$C$142,C810)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Standart'!$F$14:$F$142,'RAB Standart'!$C$14:$C$142,C811)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Standart'!$F$14:$F$142,'RAB Standart'!$C$14:$C$142,C812)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Standart'!$F$14:$F$142,'RAB Standart'!$C$14:$C$142,C813)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Standart'!$F$14:$F$142,'RAB Standart'!$C$14:$C$142,C814)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Standart'!$F$14:$F$142,'RAB Standart'!$C$14:$C$142,C815)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Standart'!$F$14:$F$142,'RAB Standart'!$C$14:$C$142,C816)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Standart'!$F$14:$F$142,'RAB Standart'!$C$14:$C$142,C817)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Standart'!$F$14:$F$142,'RAB Standart'!$C$14:$C$142,C818)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Standart'!$F$14:$F$142,'RAB Standart'!$C$14:$C$142,C819)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139">
        <f ca="1">SUMIFS('RAB Standart'!$F$14:$F$142,'RAB Standart'!$C$14:$C$142,C820)</f>
        <v>6</v>
      </c>
      <c r="E820" s="26">
        <f t="shared" ca="1" si="34"/>
        <v>1</v>
      </c>
      <c r="F820" s="26">
        <f ca="1">IF(D820=0,0,SUM($E$713:E820))</f>
        <v>7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139">
        <f ca="1">SUMIFS('RAB Standart'!$F$14:$F$142,'RAB Standart'!$C$14:$C$142,C821)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139">
        <f ca="1">SUMIFS('RAB Standart'!$F$14:$F$142,'RAB Standart'!$C$14:$C$142,C822)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Isolator Tumpu ( Pin Post ) 20 KV</v>
      </c>
      <c r="D823" s="139">
        <f ca="1">SUMIFS('RAB Standart'!$F$14:$F$142,'RAB Standart'!$C$14:$C$142,C823)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139">
        <f ca="1">SUMIFS('RAB Standart'!$F$14:$F$142,'RAB Standart'!$C$14:$C$142,C824)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Line Post ) 20 KV</v>
      </c>
      <c r="D825" s="139">
        <f ca="1">SUMIFS('RAB Standart'!$F$14:$F$142,'RAB Standart'!$C$14:$C$142,C825)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139">
        <f ca="1">SUMIFS('RAB Standart'!$F$14:$F$142,'RAB Standart'!$C$14:$C$142,C826)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139">
        <f ca="1">SUMIFS('RAB Standart'!$F$14:$F$142,'RAB Standart'!$C$14:$C$142,C827)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139">
        <f ca="1">SUMIFS('RAB Standart'!$F$14:$F$142,'RAB Standart'!$C$14:$C$142,C828)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AAAC 70 mm²</v>
      </c>
      <c r="D829" s="139">
        <f ca="1">SUMIFS('RAB Standart'!$F$14:$F$142,'RAB Standart'!$C$14:$C$142,C829)</f>
        <v>16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AAAC 150 mm²</v>
      </c>
      <c r="D830" s="139">
        <f ca="1">SUMIFS('RAB Standart'!$F$14:$F$142,'RAB Standart'!$C$14:$C$142,C830)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AAAC 240 mm²</v>
      </c>
      <c r="D831" s="139">
        <f ca="1">SUMIFS('RAB Standart'!$F$14:$F$142,'RAB Standart'!$C$14:$C$142,C831)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AAAC/S 70 mm²</v>
      </c>
      <c r="D832" s="139">
        <f ca="1">SUMIFS('RAB Standart'!$F$14:$F$142,'RAB Standart'!$C$14:$C$142,C832)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AAAC/S 150 mm²</v>
      </c>
      <c r="D833" s="139">
        <f ca="1">SUMIFS('RAB Standart'!$F$14:$F$142,'RAB Standart'!$C$14:$C$142,C833)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AAAC/S 240 mm²</v>
      </c>
      <c r="D834" s="139">
        <f ca="1">SUMIFS('RAB Standart'!$F$14:$F$142,'RAB Standart'!$C$14:$C$142,C834)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NFA2X-T 2 x 70 + N 50 mm²</v>
      </c>
      <c r="D835" s="139">
        <f ca="1">SUMIFS('RAB Standart'!$F$14:$F$142,'RAB Standart'!$C$14:$C$142,C835)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NFA2X-T 2 x 70 + N 70 mm²</v>
      </c>
      <c r="D836" s="139">
        <f ca="1">SUMIFS('RAB Standart'!$F$14:$F$142,'RAB Standart'!$C$14:$C$142,C836)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NFA2X-T 3x35+1x35</v>
      </c>
      <c r="D837" s="139">
        <f ca="1">SUMIFS('RAB Standart'!$F$14:$F$142,'RAB Standart'!$C$14:$C$142,C837)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3x70+1x70</v>
      </c>
      <c r="D838" s="139">
        <f ca="1">SUMIFS('RAB Standart'!$F$14:$F$142,'RAB Standart'!$C$14:$C$142,C838)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 2 x 10 mm²</v>
      </c>
      <c r="D839" s="139">
        <f ca="1">SUMIFS('RAB Standart'!$F$14:$F$142,'RAB Standart'!$C$14:$C$142,C839)</f>
        <v>35</v>
      </c>
      <c r="E839" s="26">
        <f t="shared" ca="1" si="34"/>
        <v>1</v>
      </c>
      <c r="F839" s="26">
        <f ca="1">IF(D839=0,0,SUM($E$713:E839))</f>
        <v>9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 2 x 16 mm²</v>
      </c>
      <c r="D840" s="139">
        <f ca="1">SUMIFS('RAB Standart'!$F$14:$F$142,'RAB Standart'!$C$14:$C$142,C840)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 4 x 16 mm²</v>
      </c>
      <c r="D841" s="139">
        <f ca="1">SUMIFS('RAB Standart'!$F$14:$F$142,'RAB Standart'!$C$14:$C$142,C841)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4 x 70 mm²</v>
      </c>
      <c r="D842" s="139">
        <f ca="1">SUMIFS('RAB Standart'!$F$14:$F$142,'RAB Standart'!$C$14:$C$142,C842)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Kabel NYY 1 x 70 mm²</v>
      </c>
      <c r="D843" s="139">
        <f ca="1">SUMIFS('RAB Standart'!$F$14:$F$142,'RAB Standart'!$C$14:$C$142,C843)</f>
        <v>25</v>
      </c>
      <c r="E843" s="26">
        <f t="shared" ref="E843:E906" ca="1" si="35">IF(D843=0,0,1)</f>
        <v>1</v>
      </c>
      <c r="F843" s="26">
        <f ca="1">IF(D843=0,0,SUM($E$713:E843))</f>
        <v>10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Kabel NYY 1 x 95 mm²</v>
      </c>
      <c r="D844" s="139">
        <f ca="1">SUMIFS('RAB Standart'!$F$14:$F$142,'RAB Standart'!$C$14:$C$142,C844)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Kabel NYY 1 x 150 mm²</v>
      </c>
      <c r="D845" s="139">
        <f ca="1">SUMIFS('RAB Standart'!$F$14:$F$142,'RAB Standart'!$C$14:$C$142,C845)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240 mm²</v>
      </c>
      <c r="D846" s="139">
        <f ca="1">SUMIFS('RAB Standart'!$F$14:$F$142,'RAB Standart'!$C$14:$C$142,C846)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4 x 70 mm²</v>
      </c>
      <c r="D847" s="139">
        <f ca="1">SUMIFS('RAB Standart'!$F$14:$F$142,'RAB Standart'!$C$14:$C$142,C847)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NA2XSEYBY 20 KV, 3 x 150 mm²</v>
      </c>
      <c r="D848" s="139">
        <f ca="1">SUMIFS('RAB Standart'!$F$14:$F$142,'RAB Standart'!$C$14:$C$142,C848)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NA2XSEYBY 20 KV, 3 x 240 mm²</v>
      </c>
      <c r="D849" s="139">
        <f ca="1">SUMIFS('RAB Standart'!$F$14:$F$142,'RAB Standart'!$C$14:$C$142,C849)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NA2XSEYBY 20 KV, 3 x 300 mm²</v>
      </c>
      <c r="D850" s="139">
        <f ca="1">SUMIFS('RAB Standart'!$F$14:$F$142,'RAB Standart'!$C$14:$C$142,C850)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MVTIC 3 x 150 + N 95 mm²</v>
      </c>
      <c r="D851" s="139">
        <f ca="1">SUMIFS('RAB Standart'!$F$14:$F$142,'RAB Standart'!$C$14:$C$142,C851)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MVTIC 3 x 240 + N 95 mm²</v>
      </c>
      <c r="D852" s="139">
        <f ca="1">SUMIFS('RAB Standart'!$F$14:$F$142,'RAB Standart'!$C$14:$C$142,C852)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139">
        <f ca="1">SUMIFS('RAB Standart'!$F$14:$F$142,'RAB Standart'!$C$14:$C$142,C853)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Modem 3G/4G</v>
      </c>
      <c r="D854" s="139">
        <f ca="1">SUMIFS('RAB Standart'!$F$14:$F$142,'RAB Standart'!$C$14:$C$142,C854)</f>
        <v>1</v>
      </c>
      <c r="E854" s="26">
        <f t="shared" ca="1" si="35"/>
        <v>1</v>
      </c>
      <c r="F854" s="26">
        <f ca="1">IF(D854=0,0,SUM($E$713:E854))</f>
        <v>11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MCCB 1 Fasa 40 A</v>
      </c>
      <c r="D855" s="139">
        <f ca="1">SUMIFS('RAB Standart'!$F$14:$F$142,'RAB Standart'!$C$14:$C$142,C855)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MCCB 1 Fasa 63 A</v>
      </c>
      <c r="D856" s="139">
        <f ca="1">SUMIFS('RAB Standart'!$F$14:$F$142,'RAB Standart'!$C$14:$C$142,C856)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MCCB 1 Fasa 80 A</v>
      </c>
      <c r="D857" s="139">
        <f ca="1">SUMIFS('RAB Standart'!$F$14:$F$142,'RAB Standart'!$C$14:$C$142,C857)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100 A</v>
      </c>
      <c r="D858" s="139">
        <f ca="1">SUMIFS('RAB Standart'!$F$14:$F$142,'RAB Standart'!$C$14:$C$142,C858)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3 Fasa 80 A</v>
      </c>
      <c r="D859" s="139">
        <f ca="1">SUMIFS('RAB Standart'!$F$14:$F$142,'RAB Standart'!$C$14:$C$142,C859)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3 Fasa 100 A</v>
      </c>
      <c r="D860" s="139">
        <f ca="1">SUMIFS('RAB Standart'!$F$14:$F$142,'RAB Standart'!$C$14:$C$142,C860)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3 Fasa 125 A</v>
      </c>
      <c r="D861" s="139">
        <f ca="1">SUMIFS('RAB Standart'!$F$14:$F$142,'RAB Standart'!$C$14:$C$142,C861)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160 A</v>
      </c>
      <c r="D862" s="139">
        <f ca="1">SUMIFS('RAB Standart'!$F$14:$F$142,'RAB Standart'!$C$14:$C$142,C862)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200 A</v>
      </c>
      <c r="D863" s="139">
        <f ca="1">SUMIFS('RAB Standart'!$F$14:$F$142,'RAB Standart'!$C$14:$C$142,C863)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225 A</v>
      </c>
      <c r="D864" s="139">
        <f ca="1">SUMIFS('RAB Standart'!$F$14:$F$142,'RAB Standart'!$C$14:$C$142,C864)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250 A</v>
      </c>
      <c r="D865" s="139">
        <f ca="1">SUMIFS('RAB Standart'!$F$14:$F$142,'RAB Standart'!$C$14:$C$142,C865)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300 A</v>
      </c>
      <c r="D866" s="139">
        <f ca="1">SUMIFS('RAB Standart'!$F$14:$F$142,'RAB Standart'!$C$14:$C$142,C866)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 xml:space="preserve">CT TR ; Burden 5 VA; 50/5 A - 300/5 A Class 0.5s </v>
      </c>
      <c r="D867" s="139">
        <f ca="1">SUMIFS('RAB Standart'!$F$14:$F$142,'RAB Standart'!$C$14:$C$142,C867)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 xml:space="preserve">CT TR ; Burden 5 VA; 100/5 A Class 0.5s </v>
      </c>
      <c r="D868" s="139">
        <f ca="1">SUMIFS('RAB Standart'!$F$14:$F$142,'RAB Standart'!$C$14:$C$142,C868)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/>
      </c>
      <c r="D869" s="139">
        <f ca="1">SUMIFS('RAB Standart'!$F$14:$F$142,'RAB Standart'!$C$14:$C$142,C869)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/>
      </c>
      <c r="D870" s="139">
        <f ca="1">SUMIFS('RAB Standart'!$F$14:$F$142,'RAB Standart'!$C$14:$C$142,C870)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/>
      </c>
      <c r="D871" s="139">
        <f ca="1">SUMIFS('RAB Standart'!$F$14:$F$142,'RAB Standart'!$C$14:$C$142,C871)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Standart'!$F$14:$F$142,'RAB Standart'!$C$14:$C$142,C872)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Standart'!$F$14:$F$142,'RAB Standart'!$C$14:$C$142,C873)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Standart'!$F$14:$F$142,'RAB Standart'!$C$14:$C$142,C874)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Standart'!$F$14:$F$142,'RAB Standart'!$C$14:$C$142,C875)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Standart'!$F$14:$F$142,'RAB Standart'!$C$14:$C$142,C876)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Standart'!$F$14:$F$142,'RAB Standart'!$C$14:$C$142,C877)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Standart'!$F$14:$F$142,'RAB Standart'!$C$14:$C$142,C878)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Standart'!$F$14:$F$142,'RAB Standart'!$C$14:$C$142,C879)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Standart'!$F$14:$F$142,'RAB Standart'!$C$14:$C$142,C880)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Standart'!$F$14:$F$142,'RAB Standart'!$C$14:$C$142,C881)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Standart'!$F$14:$F$142,'RAB Standart'!$C$14:$C$142,C882)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Standart'!$F$14:$F$142,'RAB Standart'!$C$14:$C$142,C883)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Standart'!$F$14:$F$142,'RAB Standart'!$C$14:$C$142,C884)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Standart'!$F$14:$F$142,'RAB Standart'!$C$14:$C$142,C885)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Standart'!$F$14:$F$142,'RAB Standart'!$C$14:$C$142,C886)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Standart'!$F$14:$F$142,'RAB Standart'!$C$14:$C$142,C887)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Standart'!$F$14:$F$142,'RAB Standart'!$C$14:$C$142,C888)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Standart'!$F$14:$F$142,'RAB Standart'!$C$14:$C$142,C889)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Standart'!$F$14:$F$142,'RAB Standart'!$C$14:$C$142,C890)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Standart'!$F$14:$F$142,'RAB Standart'!$C$14:$C$142,C891)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Standart'!$F$14:$F$142,'RAB Standart'!$C$14:$C$142,C892)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Standart'!$F$14:$F$142,'RAB Standart'!$C$14:$C$142,C893)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Standart'!$F$14:$F$142,'RAB Standart'!$C$14:$C$142,C894)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Standart'!$F$14:$F$142,'RAB Standart'!$C$14:$C$142,C895)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Standart'!$F$14:$F$142,'RAB Standart'!$C$14:$C$142,C896)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Standart'!$F$14:$F$142,'RAB Standart'!$C$14:$C$142,C897)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Standart'!$F$14:$F$142,'RAB Standart'!$C$14:$C$142,C898)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Standart'!$F$14:$F$142,'RAB Standart'!$C$14:$C$142,C899)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Standart'!$F$14:$F$142,'RAB Standart'!$C$14:$C$142,C900)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Standart'!$F$14:$F$142,'RAB Standart'!$C$14:$C$142,C901)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Standart'!$F$14:$F$142,'RAB Standart'!$C$14:$C$142,C902)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Standart'!$F$14:$F$142,'RAB Standart'!$C$14:$C$142,C903)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Standart'!$F$14:$F$142,'RAB Standart'!$C$14:$C$142,C904)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Standart'!$F$14:$F$142,'RAB Standart'!$C$14:$C$142,C905)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Standart'!$F$14:$F$142,'RAB Standart'!$C$14:$C$142,C906)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Standart'!$F$14:$F$142,'RAB Standart'!$C$14:$C$142,C907)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Standart'!$F$14:$F$142,'RAB Standart'!$C$14:$C$142,C908)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Standart'!$F$14:$F$142,'RAB Standart'!$C$14:$C$142,C909)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Standart'!$F$14:$F$142,'RAB Standart'!$C$14:$C$142,C910)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Standart'!$F$14:$F$142,'RAB Standart'!$C$14:$C$142,C911)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Standart'!$F$14:$F$142,'RAB Standart'!$C$14:$C$142,C912)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Standart'!$F$14:$F$142,'RAB Standart'!$C$14:$C$142,C913)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Standart'!$F$14:$F$142,'RAB Standart'!$C$14:$C$142,C914)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Standart'!$F$14:$F$142,'RAB Standart'!$C$14:$C$142,C915)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Standart'!$F$14:$F$142,'RAB Standart'!$C$14:$C$142,C916)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Standart'!$F$14:$F$142,'RAB Standart'!$C$14:$C$142,C917)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Standart'!$F$14:$F$142,'RAB Standart'!$C$14:$C$142,C918)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Standart'!$F$14:$F$142,'RAB Standart'!$C$14:$C$142,C919)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Standart'!$F$14:$F$142,'RAB Standart'!$C$14:$C$142,C920)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Standart'!$F$14:$F$142,'RAB Standart'!$C$14:$C$142,C921)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Standart'!$F$14:$F$142,'RAB Standart'!$C$14:$C$142,C922)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Standart'!$F$14:$F$142,'RAB Standart'!$C$14:$C$142,C923)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Standart'!$F$14:$F$142,'RAB Standart'!$C$14:$C$142,C924)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Standart'!$F$14:$F$142,'RAB Standart'!$C$14:$C$142,C925)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Standart'!$F$14:$F$142,'RAB Standart'!$C$14:$C$142,C926)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Standart'!$F$14:$F$142,'RAB Standart'!$C$14:$C$142,C927)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Standart'!$F$14:$F$142,'RAB Standart'!$C$14:$C$142,C928)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Standart'!$F$14:$F$142,'RAB Standart'!$C$14:$C$142,C929)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Standart'!$F$14:$F$142,'RAB Standart'!$C$14:$C$142,C930)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Standart'!$F$14:$F$142,'RAB Standart'!$C$14:$C$142,C931)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Standart'!$F$14:$F$142,'RAB Standart'!$C$14:$C$142,C932)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Standart'!$F$14:$F$142,'RAB Standart'!$C$14:$C$142,C933)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Standart'!$F$14:$F$142,'RAB Standart'!$C$14:$C$142,C934)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Standart'!$F$14:$F$142,'RAB Standart'!$C$14:$C$142,C935)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Standart'!$F$14:$F$142,'RAB Standart'!$C$14:$C$142,C936)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Standart'!$F$14:$F$142,'RAB Standart'!$C$14:$C$142,C937)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Standart'!$F$14:$F$142,'RAB Standart'!$C$14:$C$142,C938)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Standart'!$F$14:$F$142,'RAB Standart'!$C$14:$C$142,C939)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Standart'!$F$14:$F$142,'RAB Standart'!$C$14:$C$142,C940)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Standart'!$F$14:$F$142,'RAB Standart'!$C$14:$C$142,C941)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Standart'!$F$14:$F$142,'RAB Standart'!$C$14:$C$142,C942)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Standart'!$F$14:$F$142,'RAB Standart'!$C$14:$C$142,C943)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Standart'!$F$14:$F$142,'RAB Standart'!$C$14:$C$142,C944)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Standart'!$F$14:$F$142,'RAB Standart'!$C$14:$C$142,C945)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Standart'!$F$14:$F$142,'RAB Standart'!$C$14:$C$142,C946)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Standart'!$F$14:$F$142,'RAB Standart'!$C$14:$C$142,C947)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Standart'!$F$14:$F$142,'RAB Standart'!$C$14:$C$142,C948)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Standart'!$F$14:$F$142,'RAB Standart'!$C$14:$C$142,C949)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Standart'!$F$14:$F$142,'RAB Standart'!$C$14:$C$142,C950)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Standart'!$F$14:$F$142,'RAB Standart'!$C$14:$C$142,C951)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Standart'!$F$14:$F$142,'RAB Standart'!$C$14:$C$142,C952)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Standart'!$F$14:$F$142,'RAB Standart'!$C$14:$C$142,C953)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Standart'!$F$14:$F$142,'RAB Standart'!$C$14:$C$142,C954)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Standart'!$F$14:$F$142,'RAB Standart'!$C$14:$C$142,C955)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Standart'!$F$14:$F$142,'RAB Standart'!$C$14:$C$142,C956)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Standart'!$F$14:$F$142,'RAB Standart'!$C$14:$C$142,C957)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Standart'!$F$14:$F$142,'RAB Standart'!$C$14:$C$142,C958)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Standart'!$F$14:$F$142,'RAB Standart'!$C$14:$C$142,C959)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Standart'!$F$14:$F$142,'RAB Standart'!$C$14:$C$142,C960)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Standart'!$F$14:$F$142,'RAB Standart'!$C$14:$C$142,C961)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Standart'!$F$14:$F$142,'RAB Standart'!$C$14:$C$142,C962)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Standart'!$F$14:$F$142,'RAB Standart'!$C$14:$C$142,C963)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Standart'!$F$14:$F$142,'RAB Standart'!$C$14:$C$142,C964)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Standart'!$F$14:$F$142,'RAB Standart'!$C$14:$C$142,C965)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Standart'!$F$14:$F$142,'RAB Standart'!$C$14:$C$142,C966)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Standart'!$F$14:$F$142,'RAB Standart'!$C$14:$C$142,C967)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Standart'!$F$14:$F$142,'RAB Standart'!$C$14:$C$142,C968)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Standart'!$F$14:$F$142,'RAB Standart'!$C$14:$C$142,C969)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Standart'!$F$14:$F$142,'RAB Standart'!$C$14:$C$142,C970)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Standart'!$F$14:$F$142,'RAB Standart'!$C$14:$C$142,C971)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Standart'!$F$14:$F$142,'RAB Standart'!$C$14:$C$142,C972)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Standart'!$F$14:$F$142,'RAB Standart'!$C$14:$C$142,C973)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Standart'!$F$14:$F$142,'RAB Standart'!$C$14:$C$142,C974)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Standart'!$F$14:$F$142,'RAB Standart'!$C$14:$C$142,C975)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Standart'!$F$14:$F$142,'RAB Standart'!$C$14:$C$142,C976)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Standart'!$F$14:$F$142,'RAB Standart'!$C$14:$C$142,C977)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Standart'!$F$14:$F$142,'RAB Standart'!$C$14:$C$142,C978)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Standart'!$F$14:$F$142,'RAB Standart'!$C$14:$C$142,C979)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Standart'!$F$14:$F$142,'RAB Standart'!$C$14:$C$142,C980)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Standart'!$F$14:$F$142,'RAB Standart'!$C$14:$C$142,C981)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Standart'!$F$14:$F$142,'RAB Standart'!$C$14:$C$142,C982)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Standart'!$F$14:$F$142,'RAB Standart'!$C$14:$C$142,C983)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Standart'!$F$14:$F$142,'RAB Standart'!$C$14:$C$142,C984)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Standart'!$F$14:$F$142,'RAB Standart'!$C$14:$C$142,C985)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Standart'!$F$14:$F$142,'RAB Standart'!$C$14:$C$142,C986)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Standart'!$F$14:$F$142,'RAB Standart'!$C$14:$C$142,C987)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Standart'!$F$14:$F$142,'RAB Standart'!$C$14:$C$142,C988)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Standart'!$F$14:$F$142,'RAB Standart'!$C$14:$C$142,C989)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Standart'!$F$14:$F$142,'RAB Standart'!$C$14:$C$142,C990)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Standart'!$F$14:$F$142,'RAB Standart'!$C$14:$C$142,C991)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Standart'!$F$14:$F$142,'RAB Standart'!$C$14:$C$142,C992)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Standart'!$F$14:$F$142,'RAB Standart'!$C$14:$C$142,C993)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Standart'!$F$14:$F$142,'RAB Standart'!$C$14:$C$142,C994)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Standart'!$F$14:$F$142,'RAB Standart'!$C$14:$C$142,C995)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Standart'!$F$14:$F$142,'RAB Standart'!$C$14:$C$142,C996)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Standart'!$F$14:$F$142,'RAB Standart'!$C$14:$C$142,C997)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Standart'!$F$14:$F$142,'RAB Standart'!$C$14:$C$142,C998)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Standart'!$F$14:$F$142,'RAB Standart'!$C$14:$C$142,C999)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Standart'!$F$14:$F$142,'RAB Standart'!$C$14:$C$142,C1000)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Standart'!$F$14:$F$142,'RAB Standart'!$C$14:$C$142,C1001)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Standart'!$F$14:$F$142,'RAB Standart'!$C$14:$C$142,C1002)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Standart'!$F$14:$F$142,'RAB Standart'!$C$14:$C$142,C1003)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Standart'!$F$14:$F$142,'RAB Standart'!$C$14:$C$142,C1004)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Standart'!$F$14:$F$142,'RAB Standart'!$C$14:$C$142,C1005)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Standart'!$F$14:$F$142,'RAB Standart'!$C$14:$C$142,C1006)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Standart'!$F$14:$F$142,'RAB Standart'!$C$14:$C$142,C1007)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Standart'!$F$14:$F$142,'RAB Standart'!$C$14:$C$142,C1008)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Standart'!$F$14:$F$142,'RAB Standart'!$C$14:$C$142,C1009)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Standart'!$F$14:$F$142,'RAB Standart'!$C$14:$C$142,C1010)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Standart'!$F$14:$F$142,'RAB Standart'!$C$14:$C$142,C1011)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Standart'!$F$14:$F$142,'RAB Standart'!$C$14:$C$142,C1012)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Standart'!$F$14:$F$142,'RAB Standart'!$C$14:$C$142,C1013)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Standart'!$F$14:$F$142,'RAB Standart'!$C$14:$C$142,C1014)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Standart'!$F$14:$F$142,'RAB Standart'!$C$14:$C$142,C1015)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Standart'!$F$14:$F$142,'RAB Standart'!$C$14:$C$142,C1016)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Standart'!$F$14:$F$142,'RAB Standart'!$C$14:$C$142,C1017)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Standart'!$F$14:$F$142,'RAB Standart'!$C$14:$C$142,C1018)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Standart'!$F$14:$F$142,'RAB Standart'!$C$14:$C$142,C1019)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Standart'!$F$14:$F$142,'RAB Standart'!$C$14:$C$142,C1020)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Standart'!$F$14:$F$142,'RAB Standart'!$C$14:$C$142,C1021)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Standart'!$F$14:$F$142,'RAB Standart'!$C$14:$C$142,C1022)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Standart'!$F$14:$F$142,'RAB Standart'!$C$14:$C$142,C1023)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Standart'!$F$14:$F$142,'RAB Standart'!$C$14:$C$142,C1024)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Standart'!$F$14:$F$142,'RAB Standart'!$C$14:$C$142,C1025)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Standart'!$F$14:$F$142,'RAB Standart'!$C$14:$C$142,C1026)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Standart'!$F$14:$F$142,'RAB Standart'!$C$14:$C$142,C1027)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Standart'!$F$14:$F$142,'RAB Standart'!$C$14:$C$142,C1028)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Standart'!$F$14:$F$142,'RAB Standart'!$C$14:$C$142,C1029)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Standart'!$F$14:$F$142,'RAB Standart'!$C$14:$C$142,C1030)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Standart'!$F$14:$F$142,'RAB Standart'!$C$14:$C$142,C1031)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Standart'!$F$14:$F$142,'RAB Standart'!$C$14:$C$142,C1032)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Standart'!$F$14:$F$142,'RAB Standart'!$C$14:$C$142,C1033)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Standart'!$F$14:$F$142,'RAB Standart'!$C$14:$C$142,C1034)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Standart'!$F$14:$F$142,'RAB Standart'!$C$14:$C$142,C1035)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Standart'!$F$14:$F$142,'RAB Standart'!$C$14:$C$142,C1036)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Standart'!$F$14:$F$142,'RAB Standart'!$C$14:$C$142,C1037)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Standart'!$F$14:$F$142,'RAB Standart'!$C$14:$C$142,C1038)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Standart'!$F$14:$F$142,'RAB Standart'!$C$14:$C$142,C1039)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Standart'!$F$14:$F$142,'RAB Standart'!$C$14:$C$142,C1040)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Standart'!$F$14:$F$142,'RAB Standart'!$C$14:$C$142,C1041)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Standart'!$F$14:$F$142,'RAB Standart'!$C$14:$C$142,C1042)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Standart'!$F$14:$F$142,'RAB Standart'!$C$14:$C$142,C1043)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Standart'!$F$14:$F$142,'RAB Standart'!$C$14:$C$142,C1044)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Standart'!$F$14:$F$142,'RAB Standart'!$C$14:$C$142,C1045)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Standart'!$F$14:$F$142,'RAB Standart'!$C$14:$C$142,C1046)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Standart'!$F$14:$F$142,'RAB Standart'!$C$14:$C$142,C1047)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Standart'!$F$14:$F$142,'RAB Standart'!$C$14:$C$142,C1048)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Standart'!$F$14:$F$142,'RAB Standart'!$C$14:$C$142,C1049)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Standart'!$F$14:$F$142,'RAB Standart'!$C$14:$C$142,C1050)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Standart'!$F$14:$F$142,'RAB Standart'!$C$14:$C$142,C1051)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Standart'!$F$14:$F$142,'RAB Standart'!$C$14:$C$142,C1052)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Standart'!$F$14:$F$142,'RAB Standart'!$C$14:$C$142,C1053)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Standart'!$F$14:$F$142,'RAB Standart'!$C$14:$C$142,C1054)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Standart'!$F$14:$F$142,'RAB Standart'!$C$14:$C$142,C1055)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Standart'!$F$14:$F$142,'RAB Standart'!$C$14:$C$142,C1056)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Standart'!$F$14:$F$142,'RAB Standart'!$C$14:$C$142,C1057)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Standart'!$F$14:$F$142,'RAB Standart'!$C$14:$C$142,C1058)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Standart'!$F$14:$F$142,'RAB Standart'!$C$14:$C$142,C1059)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Standart'!$F$14:$F$142,'RAB Standart'!$C$14:$C$142,C1060)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Standart'!$F$14:$F$142,'RAB Standart'!$C$14:$C$142,C1061)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Standart'!$F$14:$F$142,'RAB Standart'!$C$14:$C$142,C1062)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Standart'!$F$14:$F$142,'RAB Standart'!$C$14:$C$142,C1063)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Standart'!$F$14:$F$142,'RAB Standart'!$C$14:$C$142,C1064)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Standart'!$F$14:$F$142,'RAB Standart'!$C$14:$C$142,C1065)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Standart'!$F$14:$F$142,'RAB Standart'!$C$14:$C$142,C1066)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Standart'!$F$14:$F$142,'RAB Standart'!$C$14:$C$142,C1067)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Standart'!$F$14:$F$142,'RAB Standart'!$C$14:$C$142,C1068)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Standart'!$F$14:$F$142,'RAB Standart'!$C$14:$C$142,C1069)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Standart'!$F$14:$F$142,'RAB Standart'!$C$14:$C$142,C1070)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Standart'!$F$14:$F$142,'RAB Standart'!$C$14:$C$142,C1071)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Standart'!$F$14:$F$142,'RAB Standart'!$C$14:$C$142,C1072)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Standart'!$F$14:$F$142,'RAB Standart'!$C$14:$C$142,C1073)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Standart'!$F$14:$F$142,'RAB Standart'!$C$14:$C$142,C1074)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Standart'!$F$14:$F$142,'RAB Standart'!$C$14:$C$142,C1075)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Standart'!$F$14:$F$142,'RAB Standart'!$C$14:$C$142,C1076)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Standart'!$F$14:$F$142,'RAB Standart'!$C$14:$C$142,C1077)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Standart'!$F$14:$F$142,'RAB Standart'!$C$14:$C$142,C1078)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Standart'!$F$14:$F$142,'RAB Standart'!$C$14:$C$142,C1079)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Standart'!$F$14:$F$142,'RAB Standart'!$C$14:$C$142,C1080)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Standart'!$F$14:$F$142,'RAB Standart'!$C$14:$C$142,C1081)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Standart'!$F$14:$F$142,'RAB Standart'!$C$14:$C$142,C1082)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Standart'!$F$14:$F$142,'RAB Standart'!$C$14:$C$142,C1083)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Standart'!$F$14:$F$142,'RAB Standart'!$C$14:$C$142,C1084)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Standart'!$F$14:$F$142,'RAB Standart'!$C$14:$C$142,C1085)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Standart'!$F$14:$F$142,'RAB Standart'!$C$14:$C$142,C1086)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Standart'!$F$14:$F$142,'RAB Standart'!$C$14:$C$142,C1087)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Standart'!$F$14:$F$142,'RAB Standart'!$C$14:$C$142,C1088)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Standart'!$F$14:$F$142,'RAB Standart'!$C$14:$C$142,C1089)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Standart'!$F$14:$F$142,'RAB Standart'!$C$14:$C$142,C1090)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Standart'!$F$14:$F$142,'RAB Standart'!$C$14:$C$142,C1091)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Standart'!$F$14:$F$142,'RAB Standart'!$C$14:$C$142,C1092)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Standart'!$F$14:$F$142,'RAB Standart'!$C$14:$C$142,C1093)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Standart'!$F$14:$F$142,'RAB Standart'!$C$14:$C$142,C1094)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Standart'!$F$14:$F$142,'RAB Standart'!$C$14:$C$142,C1095)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Standart'!$F$14:$F$142,'RAB Standart'!$C$14:$C$142,C1096)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Standart'!$F$14:$F$142,'RAB Standart'!$C$14:$C$142,C1097)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Standart'!$F$14:$F$142,'RAB Standart'!$C$14:$C$142,C1098)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Standart'!$F$14:$F$142,'RAB Standart'!$C$14:$C$142,C1099)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Standart'!$F$14:$F$142,'RAB Standart'!$C$14:$C$142,C1100)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Standart'!$F$14:$F$142,'RAB Standart'!$C$14:$C$142,C1101)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Standart'!$F$14:$F$142,'RAB Standart'!$C$14:$C$142,C1102)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Standart'!$F$14:$F$142,'RAB Standart'!$C$14:$C$142,C1103)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Standart'!$F$14:$F$142,'RAB Standart'!$C$14:$C$142,C1104)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Standart'!$F$14:$F$142,'RAB Standart'!$C$14:$C$142,C1105)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Standart'!$F$14:$F$142,'RAB Standart'!$C$14:$C$142,C1106)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Standart'!$F$14:$F$142,'RAB Standart'!$C$14:$C$142,C1107)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Standart'!$F$14:$F$142,'RAB Standart'!$C$14:$C$142,C1108)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Standart'!$F$14:$F$142,'RAB Standart'!$C$14:$C$142,C1109)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Standart'!$F$14:$F$142,'RAB Standart'!$C$14:$C$142,C1110)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Standart'!$F$14:$F$142,'RAB Standart'!$C$14:$C$142,C1111)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Standart'!$F$14:$F$142,'RAB Standart'!$C$14:$C$142,C1112)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Standart'!$F$14:$F$142,'RAB Standart'!$C$14:$C$142,C1113)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Standart'!$F$14:$F$142,'RAB Standart'!$C$14:$C$142,C1114)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Standart'!$F$14:$F$142,'RAB Standart'!$C$14:$C$142,C1115)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Standart'!$F$14:$F$142,'RAB Standart'!$C$14:$C$142,C1116)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Standart'!$F$14:$F$142,'RAB Standart'!$C$14:$C$142,C1117)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Standart'!$F$14:$F$142,'RAB Standart'!$C$14:$C$142,C1118)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Standart'!$F$14:$F$142,'RAB Standart'!$C$14:$C$142,C1119)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Standart'!$F$14:$F$142,'RAB Standart'!$C$14:$C$142,C1120)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Standart'!$F$14:$F$142,'RAB Standart'!$C$14:$C$142,C1121)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Standart'!$F$14:$F$142,'RAB Standart'!$C$14:$C$142,C1122)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Standart'!$F$14:$F$142,'RAB Standart'!$C$14:$C$142,C1123)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Standart'!$F$14:$F$142,'RAB Standart'!$C$14:$C$142,C1124)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Standart'!$F$14:$F$142,'RAB Standart'!$C$14:$C$142,C1125)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Standart'!$F$14:$F$142,'RAB Standart'!$C$14:$C$142,C1126)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Standart'!$F$14:$F$142,'RAB Standart'!$C$14:$C$142,C1127)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Standart'!$F$14:$F$142,'RAB Standart'!$C$14:$C$142,C1128)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Standart'!$F$14:$F$142,'RAB Standart'!$C$14:$C$142,C1129)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Standart'!$F$14:$F$142,'RAB Standart'!$C$14:$C$142,C1130)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Standart'!$F$14:$F$142,'RAB Standart'!$C$14:$C$142,C1131)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Standart'!$F$14:$F$142,'RAB Standart'!$C$14:$C$142,C1132)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Standart'!$F$14:$F$142,'RAB Standart'!$C$14:$C$142,C1133)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Standart'!$F$14:$F$142,'RAB Standart'!$C$14:$C$142,C1134)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Standart'!$F$14:$F$142,'RAB Standart'!$C$14:$C$142,C1135)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Standart'!$F$14:$F$142,'RAB Standart'!$C$14:$C$142,C1136)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Standart'!$F$14:$F$142,'RAB Standart'!$C$14:$C$142,C1137)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Standart'!$F$14:$F$142,'RAB Standart'!$C$14:$C$142,C1138)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Standart'!$F$14:$F$142,'RAB Standart'!$C$14:$C$142,C1139)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Standart'!$F$14:$F$142,'RAB Standart'!$C$14:$C$142,C1140)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Standart'!$F$14:$F$142,'RAB Standart'!$C$14:$C$142,C1141)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Standart'!$F$14:$F$142,'RAB Standart'!$C$14:$C$142,C1142)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Standart'!$F$14:$F$142,'RAB Standart'!$C$14:$C$142,C1143)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Standart'!$F$14:$F$142,'RAB Standart'!$C$14:$C$142,C1144)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Standart'!$F$14:$F$142,'RAB Standart'!$C$14:$C$142,C1145)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Standart'!$F$14:$F$142,'RAB Standart'!$C$14:$C$142,C1146)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Standart'!$F$14:$F$142,'RAB Standart'!$C$14:$C$142,C1147)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Standart'!$F$14:$F$142,'RAB Standart'!$C$14:$C$142,C1148)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Standart'!$F$14:$F$142,'RAB Standart'!$C$14:$C$142,C1149)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Standart'!$F$14:$F$142,'RAB Standart'!$C$14:$C$142,C1150)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Standart'!$F$14:$F$142,'RAB Standart'!$C$14:$C$142,C1151)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Standart'!$F$14:$F$142,'RAB Standart'!$C$14:$C$142,C1152)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Standart'!$F$14:$F$142,'RAB Standart'!$C$14:$C$142,C1153)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Standart'!$F$14:$F$142,'RAB Standart'!$C$14:$C$142,C1154)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Standart'!$F$14:$F$142,'RAB Standart'!$C$14:$C$142,C1155)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Standart'!$F$14:$F$142,'RAB Standart'!$C$14:$C$142,C1156)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Standart'!$F$14:$F$142,'RAB Standart'!$C$14:$C$142,C1157)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Standart'!$F$14:$F$142,'RAB Standart'!$C$14:$C$142,C1158)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Standart'!$F$14:$F$142,'RAB Standart'!$C$14:$C$142,C1159)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Standart'!$F$14:$F$142,'RAB Standart'!$C$14:$C$142,C1160)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Standart'!$F$14:$F$142,'RAB Standart'!$C$14:$C$142,C1161)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Standart'!$F$14:$F$142,'RAB Standart'!$C$14:$C$142,C1162)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Standart'!$F$14:$F$142,'RAB Standart'!$C$14:$C$142,C1163)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Standart'!$F$14:$F$142,'RAB Standart'!$C$14:$C$142,C1164)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Standart'!$F$14:$F$142,'RAB Standart'!$C$14:$C$142,C1165)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Standart'!$F$14:$F$142,'RAB Standart'!$C$14:$C$142,C1166)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Standart'!$F$14:$F$142,'RAB Standart'!$C$14:$C$142,C1167)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Standart'!$F$14:$F$142,'RAB Standart'!$C$14:$C$142,C1168)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Standart'!$F$14:$F$142,'RAB Standart'!$C$14:$C$142,C1169)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Standart'!$F$14:$F$142,'RAB Standart'!$C$14:$C$142,C1170)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Standart'!$F$14:$F$142,'RAB Standart'!$C$14:$C$142,C1171)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Standart'!$F$14:$F$142,'RAB Standart'!$C$14:$C$142,C1172)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Standart'!$F$14:$F$142,'RAB Standart'!$C$14:$C$142,C1173)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Standart'!$F$14:$F$142,'RAB Standart'!$C$14:$C$142,C1174)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Standart'!$F$14:$F$142,'RAB Standart'!$C$14:$C$142,C1175)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Standart'!$F$14:$F$142,'RAB Standart'!$C$14:$C$142,C1176)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Standart'!$F$14:$F$142,'RAB Standart'!$C$14:$C$142,C1177)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Standart'!$F$14:$F$142,'RAB Standart'!$C$14:$C$142,C1178)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Standart'!$F$14:$F$142,'RAB Standart'!$C$14:$C$142,C1179)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Standart'!$F$14:$F$142,'RAB Standart'!$C$14:$C$142,C1180)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Standart'!$F$14:$F$142,'RAB Standart'!$C$14:$C$142,C1181)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Standart'!$F$14:$F$142,'RAB Standart'!$C$14:$C$142,C1182)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Standart'!$F$14:$F$142,'RAB Standart'!$C$14:$C$142,C1183)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Standart'!$F$14:$F$142,'RAB Standart'!$C$14:$C$142,C1184)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Standart'!$F$14:$F$142,'RAB Standart'!$C$14:$C$142,C1185)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Standart'!$F$14:$F$142,'RAB Standart'!$C$14:$C$142,C1186)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Standart'!$F$14:$F$142,'RAB Standart'!$C$14:$C$142,C1187)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Standart'!$F$14:$F$142,'RAB Standart'!$C$14:$C$142,C1188)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Standart'!$F$14:$F$142,'RAB Standart'!$C$14:$C$142,C1189)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Standart'!$F$14:$F$142,'RAB Standart'!$C$14:$C$142,C1190)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Standart'!$F$14:$F$142,'RAB Standart'!$C$14:$C$142,C1191)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Standart'!$F$14:$F$142,'RAB Standart'!$C$14:$C$142,C1192)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Standart'!$F$14:$F$142,'RAB Standart'!$C$14:$C$142,C1193)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Standart'!$F$14:$F$142,'RAB Standart'!$C$14:$C$142,C1194)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Standart'!$F$14:$F$142,'RAB Standart'!$C$14:$C$142,C1195)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Standart'!$F$14:$F$142,'RAB Standart'!$C$14:$C$142,C1196)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Standart'!$F$14:$F$142,'RAB Standart'!$C$14:$C$142,C1197)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Standart'!$F$14:$F$142,'RAB Standart'!$C$14:$C$142,C1198)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Standart'!$F$14:$F$142,'RAB Standart'!$C$14:$C$142,C1199)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Standart'!$F$14:$F$142,'RAB Standart'!$C$14:$C$142,C1200)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Standart'!$F$14:$F$142,'RAB Standart'!$C$14:$C$142,C1201)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Standart'!$F$14:$F$142,'RAB Standart'!$C$14:$C$142,C1202)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Standart'!$F$14:$F$142,'RAB Standart'!$C$14:$C$142,C1203)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Standart'!$F$14:$F$142,'RAB Standart'!$C$14:$C$142,C1204)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Standart'!$F$14:$F$142,'RAB Standart'!$C$14:$C$142,C1205)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Standart'!$F$14:$F$142,'RAB Standart'!$C$14:$C$142,C1206)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Standart'!$F$14:$F$142,'RAB Standart'!$C$14:$C$142,C1207)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Standart'!$F$14:$F$142,'RAB Standart'!$C$14:$C$142,C1208)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Standart'!$F$14:$F$142,'RAB Standart'!$C$14:$C$142,C1209)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Standart'!$F$14:$F$142,'RAB Standart'!$C$14:$C$142,C1210)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Standart'!$F$14:$F$142,'RAB Standart'!$C$14:$C$142,C1211)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Standart'!$F$14:$F$142,'RAB Standart'!$C$14:$C$142,C1212)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Standart'!$F$14:$F$142,'RAB Standart'!$C$14:$C$142,C1213)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Standart'!$F$14:$F$142,'RAB Standart'!$C$14:$C$142,C1214)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Standart'!$F$14:$F$142,'RAB Standart'!$C$14:$C$142,C1215)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Standart'!$F$14:$F$142,'RAB Standart'!$C$14:$C$142,C1216)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Standart'!$F$14:$F$142,'RAB Standart'!$C$14:$C$142,C1217)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Standart'!$F$14:$F$142,'RAB Standart'!$C$14:$C$142,C1218)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Standart'!$F$14:$F$142,'RAB Standart'!$C$14:$C$142,C1219)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Standart'!$F$14:$F$142,'RAB Standart'!$C$14:$C$142,C1220)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Standart'!$F$14:$F$142,'RAB Standart'!$C$14:$C$142,C1221)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Standart'!$F$14:$F$142,'RAB Standart'!$C$14:$C$142,C1222)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Standart'!$F$14:$F$142,'RAB Standart'!$C$14:$C$142,C1223)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Standart'!$F$14:$F$142,'RAB Standart'!$C$14:$C$142,C1224)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Standart'!$F$14:$F$142,'RAB Standart'!$C$14:$C$142,C1225)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Standart'!$F$14:$F$142,'RAB Standart'!$C$14:$C$142,C1226)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Standart'!$F$14:$F$142,'RAB Standart'!$C$14:$C$142,C1227)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Standart'!$F$14:$F$142,'RAB Standart'!$C$14:$C$142,C1228)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Standart'!$F$14:$F$142,'RAB Standart'!$C$14:$C$142,C1229)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Standart'!$F$14:$F$142,'RAB Standart'!$C$14:$C$142,C1230)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Standart'!$F$14:$F$142,'RAB Standart'!$C$14:$C$142,C1231)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Standart'!$F$14:$F$142,'RAB Standart'!$C$14:$C$142,C1232)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Standart'!$F$14:$F$142,'RAB Standart'!$C$14:$C$142,C1233)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Standart'!$F$14:$F$142,'RAB Standart'!$C$14:$C$142,C1234)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Standart'!$F$14:$F$142,'RAB Standart'!$C$14:$C$142,C1235)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Standart'!$F$14:$F$142,'RAB Standart'!$C$14:$C$142,C1236)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Standart'!$F$14:$F$142,'RAB Standart'!$C$14:$C$142,C1237)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Standart'!$F$14:$F$142,'RAB Standart'!$C$14:$C$142,C1238)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Standart'!$F$14:$F$142,'RAB Standart'!$C$14:$C$142,C1239)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Standart'!$F$14:$F$142,'RAB Standart'!$C$14:$C$142,C1240)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Standart'!$F$14:$F$142,'RAB Standart'!$C$14:$C$142,C1241)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Standart'!$F$14:$F$142,'RAB Standart'!$C$14:$C$142,C1242)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Standart'!$F$14:$F$142,'RAB Standart'!$C$14:$C$142,C1243)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Standart'!$F$14:$F$142,'RAB Standart'!$C$14:$C$142,C1244)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Standart'!$F$14:$F$142,'RAB Standart'!$C$14:$C$142,C1245)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Standart'!$F$14:$F$142,'RAB Standart'!$C$14:$C$142,C1246)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Standart'!$F$14:$F$142,'RAB Standart'!$C$14:$C$142,C1247)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Standart'!$F$14:$F$142,'RAB Standart'!$C$14:$C$142,C1248)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Standart'!$F$14:$F$142,'RAB Standart'!$C$14:$C$142,C1249)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Standart'!$F$14:$F$142,'RAB Standart'!$C$14:$C$142,C1250)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Standart'!$F$14:$F$142,'RAB Standart'!$C$14:$C$142,C1251)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Standart'!$F$14:$F$142,'RAB Standart'!$C$14:$C$142,C1252)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Standart'!$F$14:$F$142,'RAB Standart'!$C$14:$C$142,C1253)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Standart'!$F$14:$F$142,'RAB Standart'!$C$14:$C$142,C1254)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Standart'!$F$14:$F$142,'RAB Standart'!$C$14:$C$142,C1255)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Standart'!$F$14:$F$142,'RAB Standart'!$C$14:$C$142,C1256)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Standart'!$F$14:$F$142,'RAB Standart'!$C$14:$C$142,C1257)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Standart'!$F$14:$F$142,'RAB Standart'!$C$14:$C$142,C1258)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Standart'!$F$14:$F$142,'RAB Standart'!$C$14:$C$142,C1259)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Standart'!$F$14:$F$142,'RAB Standart'!$C$14:$C$142,C1260)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Standart'!$F$14:$F$142,'RAB Standart'!$C$14:$C$142,C1261)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Standart'!$F$14:$F$142,'RAB Standart'!$C$14:$C$142,C1262)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Standart'!$F$14:$F$142,'RAB Standart'!$C$14:$C$142,C1263)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Standart'!$F$14:$F$142,'RAB Standart'!$C$14:$C$142,C1264)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Standart'!$F$14:$F$142,'RAB Standart'!$C$14:$C$142,C1265)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Standart'!$F$14:$F$142,'RAB Standart'!$C$14:$C$142,C1266)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Standart'!$F$14:$F$142,'RAB Standart'!$C$14:$C$142,C1267)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Standart'!$F$14:$F$142,'RAB Standart'!$C$14:$C$142,C1268)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Standart'!$F$14:$F$142,'RAB Standart'!$C$14:$C$142,C1269)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Standart'!$F$14:$F$142,'RAB Standart'!$C$14:$C$142,C1270)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Standart'!$F$14:$F$142,'RAB Standart'!$C$14:$C$142,C1271)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Standart'!$F$14:$F$142,'RAB Standart'!$C$14:$C$142,C1272)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Standart'!$F$14:$F$142,'RAB Standart'!$C$14:$C$142,C1273)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Standart'!$F$14:$F$142,'RAB Standart'!$C$14:$C$142,C1274)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Standart'!$F$14:$F$142,'RAB Standart'!$C$14:$C$142,C1275)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Standart'!$F$14:$F$142,'RAB Standart'!$C$14:$C$142,C1276)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Standart'!$F$14:$F$142,'RAB Standart'!$C$14:$C$142,C1277)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Standart'!$F$14:$F$142,'RAB Standart'!$C$14:$C$142,C1278)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Standart'!$F$14:$F$142,'RAB Standart'!$C$14:$C$142,C1279)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Standart'!$F$14:$F$142,'RAB Standart'!$C$14:$C$142,C1280)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Standart'!$F$14:$F$142,'RAB Standart'!$C$14:$C$142,C1281)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Standart'!$F$14:$F$142,'RAB Standart'!$C$14:$C$142,C1282)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Standart'!$F$14:$F$142,'RAB Standart'!$C$14:$C$142,C1283)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Standart'!$F$14:$F$142,'RAB Standart'!$C$14:$C$142,C1284)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Standart'!$F$14:$F$142,'RAB Standart'!$C$14:$C$142,C1285)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Standart'!$F$14:$F$142,'RAB Standart'!$C$14:$C$142,C1286)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Standart'!$F$14:$F$142,'RAB Standart'!$C$14:$C$142,C1287)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Standart'!$F$14:$F$142,'RAB Standart'!$C$14:$C$142,C1288)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Standart'!$F$14:$F$142,'RAB Standart'!$C$14:$C$142,C1289)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Standart'!$F$14:$F$142,'RAB Standart'!$C$14:$C$142,C1290)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Standart'!$F$14:$F$142,'RAB Standart'!$C$14:$C$142,C1291)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Standart'!$F$14:$F$142,'RAB Standart'!$C$14:$C$142,C1292)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Standart'!$F$14:$F$142,'RAB Standart'!$C$14:$C$142,C1293)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Standart'!$F$14:$F$142,'RAB Standart'!$C$14:$C$142,C1294)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Standart'!$F$14:$F$142,'RAB Standart'!$C$14:$C$142,C1295)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Standart'!$F$14:$F$142,'RAB Standart'!$C$14:$C$142,C1296)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Standart'!$F$14:$F$142,'RAB Standart'!$C$14:$C$142,C1297)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Standart'!$F$14:$F$142,'RAB Standart'!$C$14:$C$142,C1298)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Standart'!$F$14:$F$142,'RAB Standart'!$C$14:$C$142,C1299)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Standart'!$F$14:$F$142,'RAB Standart'!$C$14:$C$142,C1300)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Standart'!$F$14:$F$142,'RAB Standart'!$C$14:$C$142,C1301)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Standart'!$F$14:$F$142,'RAB Standart'!$C$14:$C$142,C1302)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Standart'!$F$14:$F$142,'RAB Standart'!$C$14:$C$142,C1303)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Standart'!$F$14:$F$142,'RAB Standart'!$C$14:$C$142,C1304)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Standart'!$F$14:$F$142,'RAB Standart'!$C$14:$C$142,C1305)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Standart'!$F$14:$F$142,'RAB Standart'!$C$14:$C$142,C1306)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Standart'!$F$14:$F$142,'RAB Standart'!$C$14:$C$142,C1307)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Standart'!$F$14:$F$142,'RAB Standart'!$C$14:$C$142,C1308)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Standart'!$F$14:$F$142,'RAB Standart'!$C$14:$C$142,C1309)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Standart'!$F$14:$F$142,'RAB Standart'!$C$14:$C$142,C1310)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Standart'!$F$14:$F$142,'RAB Standart'!$C$14:$C$142,C1311)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Standart'!$F$14:$F$142,'RAB Standart'!$C$14:$C$142,C1312)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Standart'!$F$14:$F$142,'RAB Standart'!$C$14:$C$142,C1313)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Standart'!$F$14:$F$142,'RAB Standart'!$C$14:$C$142,C1314)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Standart'!$F$14:$F$142,'RAB Standart'!$C$14:$C$142,C1315)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Standart'!$F$14:$F$142,'RAB Standart'!$C$14:$C$142,C1316)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Standart'!$F$14:$F$142,'RAB Standart'!$C$14:$C$142,C1317)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Standart'!$F$14:$F$142,'RAB Standart'!$C$14:$C$142,C1318)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Standart'!$F$14:$F$142,'RAB Standart'!$C$14:$C$142,C1319)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Standart'!$F$14:$F$142,'RAB Standart'!$C$14:$C$142,C1320)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4" priority="5" operator="equal">
      <formula>0</formula>
    </cfRule>
  </conditionalFormatting>
  <conditionalFormatting sqref="A10:L65536">
    <cfRule type="cellIs" dxfId="43" priority="1" operator="equal">
      <formula>0</formula>
    </cfRule>
  </conditionalFormatting>
  <conditionalFormatting sqref="C12:C711">
    <cfRule type="cellIs" dxfId="42" priority="66" stopIfTrue="1" operator="equal">
      <formula>0</formula>
    </cfRule>
  </conditionalFormatting>
  <conditionalFormatting sqref="E712:E65536">
    <cfRule type="cellIs" dxfId="41" priority="16" stopIfTrue="1" operator="equal">
      <formula>0</formula>
    </cfRule>
  </conditionalFormatting>
  <conditionalFormatting sqref="G1:G11 E6:E11 E1:E3 H7 H10:H11 F10:F711 G712:G65536">
    <cfRule type="cellIs" dxfId="40" priority="69" stopIfTrue="1" operator="equal">
      <formula>0</formula>
    </cfRule>
  </conditionalFormatting>
  <conditionalFormatting sqref="G12:H711">
    <cfRule type="cellIs" dxfId="39" priority="12" stopIfTrue="1" operator="equal">
      <formula>0</formula>
    </cfRule>
  </conditionalFormatting>
  <conditionalFormatting sqref="I7:K7">
    <cfRule type="cellIs" dxfId="38" priority="4" stopIfTrue="1" operator="equal">
      <formula>0</formula>
    </cfRule>
  </conditionalFormatting>
  <conditionalFormatting sqref="I10:L711">
    <cfRule type="cellIs" dxfId="37" priority="2" stopIfTrue="1" operator="equal">
      <formula>0</formula>
    </cfRule>
  </conditionalFormatting>
  <conditionalFormatting sqref="L1:L6">
    <cfRule type="cellIs" dxfId="36" priority="10" operator="equal">
      <formula>0</formula>
    </cfRule>
  </conditionalFormatting>
  <conditionalFormatting sqref="M1:IV1048576 A8:G9">
    <cfRule type="cellIs" dxfId="35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8" t="s">
        <v>1100</v>
      </c>
      <c r="C4" s="558"/>
      <c r="D4" s="558"/>
      <c r="E4" s="558"/>
      <c r="F4" s="558"/>
      <c r="G4" s="558"/>
      <c r="H4" s="558"/>
      <c r="I4" s="558"/>
      <c r="J4" s="558"/>
      <c r="K4" s="55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1" t="str">
        <f>'RAB Standart'!G6</f>
        <v>PEKERJAAN PD An. CV ANUGRAH TIMBERINDO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SAYUNG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9" t="s">
        <v>0</v>
      </c>
      <c r="C11" s="561" t="s">
        <v>1</v>
      </c>
      <c r="D11" s="564" t="s">
        <v>34</v>
      </c>
      <c r="E11" s="564" t="s">
        <v>35</v>
      </c>
      <c r="F11" s="564" t="s">
        <v>2</v>
      </c>
      <c r="G11" s="565" t="s">
        <v>33</v>
      </c>
      <c r="H11" s="564" t="s">
        <v>3</v>
      </c>
      <c r="I11" s="564"/>
      <c r="J11" s="564"/>
      <c r="K11" s="568"/>
      <c r="M11" s="33"/>
      <c r="N11" s="33"/>
      <c r="O11" s="33"/>
      <c r="P11" s="33"/>
      <c r="R11" s="34"/>
      <c r="S11" s="74"/>
      <c r="T11" s="74"/>
    </row>
    <row r="12" spans="1:21" ht="15" customHeight="1">
      <c r="B12" s="560"/>
      <c r="C12" s="562"/>
      <c r="D12" s="554"/>
      <c r="E12" s="554"/>
      <c r="F12" s="554"/>
      <c r="G12" s="566"/>
      <c r="H12" s="556" t="s">
        <v>38</v>
      </c>
      <c r="I12" s="556" t="s">
        <v>5</v>
      </c>
      <c r="J12" s="554" t="s">
        <v>39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0"/>
      <c r="C13" s="563"/>
      <c r="D13" s="554"/>
      <c r="E13" s="554"/>
      <c r="F13" s="554"/>
      <c r="G13" s="567"/>
      <c r="H13" s="557"/>
      <c r="I13" s="557"/>
      <c r="J13" s="554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SATUAN'!$C$7:$C$1509,0),0)),"",OFFSET('HARGA SATUAN'!$D$6,MATCH(C16,'HARGA SATUAN'!$C$7:$C$1509,0),0))</f>
        <v/>
      </c>
      <c r="E16" s="101">
        <f ca="1">IF(B16="+","Unit",IF(ISERROR(OFFSET('HARGA SATUAN'!$E$6,MATCH(C16,'HARGA SATUAN'!$C$7:$C$1509,0),0)),"",OFFSET('HARGA SATUAN'!$E$6,MATCH(C16,'HARGA SATUAN'!$C$7:$C$1509,0),0)))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SATUAN'!$C$7:$C$1509,0),0)),"",OFFSET('HARGA SATUAN'!$I$6,MATCH(C16,'HARGA SATUAN'!$C$7:$C$1509,0),0))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 t="str">
        <f t="shared" ca="1" si="5"/>
        <v/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2" t="s">
        <v>984</v>
      </c>
      <c r="D38" s="552"/>
      <c r="E38" s="552"/>
      <c r="F38" s="55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3" t="s">
        <v>455</v>
      </c>
      <c r="D39" s="553"/>
      <c r="E39" s="553"/>
      <c r="F39" s="55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456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5" t="e">
        <f ca="1">"Terbilang : ( "&amp;L42&amp;" Rupiah )"</f>
        <v>#NAME?</v>
      </c>
      <c r="C41" s="546"/>
      <c r="D41" s="546"/>
      <c r="E41" s="546"/>
      <c r="F41" s="546"/>
      <c r="G41" s="546"/>
      <c r="H41" s="546"/>
      <c r="I41" s="546"/>
      <c r="J41" s="546"/>
      <c r="K41" s="547"/>
      <c r="L41" s="44"/>
      <c r="R41" s="58"/>
      <c r="S41" s="58"/>
      <c r="T41" s="58"/>
    </row>
    <row r="42" spans="1:20" s="36" customFormat="1">
      <c r="A42" s="30"/>
      <c r="B42" s="548"/>
      <c r="C42" s="549"/>
      <c r="D42" s="549"/>
      <c r="E42" s="549"/>
      <c r="F42" s="549"/>
      <c r="G42" s="549"/>
      <c r="H42" s="549"/>
      <c r="I42" s="549"/>
      <c r="J42" s="549"/>
      <c r="K42" s="550"/>
      <c r="L42" s="62" t="e">
        <f ca="1">PROPER([163]!terbilang(K40))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Standart'!$F$14:$F$142,'RAB Standart'!$C$14:$C$142,'REKAP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Standart'!$F$14:$F$142,'RAB Standart'!$C$14:$C$142,'REKAP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Standart'!$F$14:$F$142,'RAB Standart'!$C$14:$C$142,'REKAP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Standart'!$F$14:$F$142,'RAB Standart'!$C$14:$C$142,'REKAP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Standart'!$F$14:$F$142,'RAB Standart'!$C$14:$C$142,'REKAP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Standart'!$F$14:$F$142,'RAB Standart'!$C$14:$C$142,'REKAP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Standart'!$F$14:$F$142,'RAB Standart'!$C$14:$C$142,'REKAP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Standart'!$F$14:$F$142,'RAB Standart'!$C$14:$C$142,'REKAP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Standart'!$F$14:$F$142,'RAB Standart'!$C$14:$C$142,'REKAP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Standart'!$F$14:$F$142,'RAB Standart'!$C$14:$C$142,'REKAP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Standart'!$F$14:$F$142,'RAB Standart'!$C$14:$C$142,'REKAP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Standart'!$F$14:$F$142,'RAB Standart'!$C$14:$C$142,'REKAP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Standart'!$F$14:$F$142,'RAB Standart'!$C$14:$C$142,'REKAP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Standart'!$F$14:$F$142,'RAB Standart'!$C$14:$C$142,'REKAP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Standart'!$F$14:$F$142,'RAB Standart'!$C$14:$C$142,'REKAP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Standart'!$F$14:$F$142,'RAB Standart'!$C$14:$C$142,'REKAP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Standart'!$F$14:$F$142,'RAB Standart'!$C$14:$C$142,'REKAP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Standart'!$F$14:$F$142,'RAB Standart'!$C$14:$C$142,'REKAP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Standart'!$F$14:$F$142,'RAB Standart'!$C$14:$C$142,'REKAP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Standart'!$F$14:$F$142,'RAB Standart'!$C$14:$C$142,'REKAP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8" t="s">
        <v>1007</v>
      </c>
      <c r="C4" s="558"/>
      <c r="D4" s="558"/>
      <c r="E4" s="558"/>
      <c r="F4" s="558"/>
      <c r="G4" s="558"/>
      <c r="H4" s="558"/>
      <c r="I4" s="558"/>
      <c r="J4" s="558"/>
      <c r="K4" s="55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1" t="str">
        <f>'RAB Standart'!G6</f>
        <v>PEKERJAAN PD An. CV ANUGRAH TIMBERINDO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SAYUNG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9" t="s">
        <v>0</v>
      </c>
      <c r="C11" s="561" t="s">
        <v>1</v>
      </c>
      <c r="D11" s="564" t="s">
        <v>34</v>
      </c>
      <c r="E11" s="564" t="s">
        <v>35</v>
      </c>
      <c r="F11" s="564" t="s">
        <v>2</v>
      </c>
      <c r="G11" s="565" t="s">
        <v>33</v>
      </c>
      <c r="H11" s="564" t="s">
        <v>3</v>
      </c>
      <c r="I11" s="564"/>
      <c r="J11" s="564"/>
      <c r="K11" s="568"/>
      <c r="M11" s="33"/>
      <c r="N11" s="33"/>
      <c r="O11" s="33"/>
      <c r="P11" s="33"/>
      <c r="R11" s="34"/>
      <c r="S11" s="74"/>
      <c r="T11" s="74"/>
    </row>
    <row r="12" spans="1:21" ht="15" customHeight="1">
      <c r="B12" s="560"/>
      <c r="C12" s="562"/>
      <c r="D12" s="554"/>
      <c r="E12" s="554"/>
      <c r="F12" s="554"/>
      <c r="G12" s="566"/>
      <c r="H12" s="556" t="s">
        <v>38</v>
      </c>
      <c r="I12" s="556" t="s">
        <v>5</v>
      </c>
      <c r="J12" s="554" t="s">
        <v>39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0"/>
      <c r="C13" s="563"/>
      <c r="D13" s="554"/>
      <c r="E13" s="554"/>
      <c r="F13" s="554"/>
      <c r="G13" s="567"/>
      <c r="H13" s="557"/>
      <c r="I13" s="557"/>
      <c r="J13" s="554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SATUAN'!$C$7:$C$1509,0),0)),"",OFFSET('HARGA SATUAN'!$I$6,MATCH(C16,'HARGA SATUAN'!$C$7:$C$1509,0),0))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SATUAN'!$C$7:$C$1509,0),0)),"",OFFSET('HARGA SATUAN'!$I$6,MATCH(C17,'HARGA SATUAN'!$C$7:$C$1509,0),0))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Unit</v>
      </c>
      <c r="F19" s="101">
        <f t="shared" ca="1" si="6"/>
        <v>1</v>
      </c>
      <c r="G19" s="41">
        <f ca="1">IF(ISERROR(OFFSET('HARGA SATUAN'!$I$6,MATCH(C19,'HARGA SATUAN'!$C$7:$C$1509,0),0)),"",OFFSET('HARGA SATUAN'!$I$6,MATCH(C19,'HARGA SATUAN'!$C$7:$C$1509,0),0))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Cell</v>
      </c>
      <c r="F20" s="101">
        <f t="shared" ca="1" si="6"/>
        <v>1</v>
      </c>
      <c r="G20" s="41">
        <f ca="1">IF(ISERROR(OFFSET('HARGA SATUAN'!$I$6,MATCH(C20,'HARGA SATUAN'!$C$7:$C$1509,0),0)),"",OFFSET('HARGA SATUAN'!$I$6,MATCH(C20,'HARGA SATUAN'!$C$7:$C$1509,0),0))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Cell</v>
      </c>
      <c r="F21" s="101">
        <f t="shared" ca="1" si="6"/>
        <v>1</v>
      </c>
      <c r="G21" s="41">
        <f ca="1">IF(ISERROR(OFFSET('HARGA SATUAN'!$I$6,MATCH(C21,'HARGA SATUAN'!$C$7:$C$1509,0),0)),"",OFFSET('HARGA SATUAN'!$I$6,MATCH(C21,'HARGA SATUAN'!$C$7:$C$1509,0),0))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Lightning Arester (Polymer) 21 KV, 10 KA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01">
        <f t="shared" ca="1" si="6"/>
        <v>6</v>
      </c>
      <c r="G22" s="41">
        <f ca="1">IF(ISERROR(OFFSET('HARGA SATUAN'!$I$6,MATCH(C22,'HARGA SATUAN'!$C$7:$C$1509,0),0)),"",OFFSET('HARGA SATUAN'!$I$6,MATCH(C22,'HARGA SATUAN'!$C$7:$C$1509,0),0))</f>
        <v>725900</v>
      </c>
      <c r="H22" s="42">
        <f t="shared" ca="1" si="1"/>
        <v>4355400</v>
      </c>
      <c r="I22" s="42">
        <f t="shared" ca="1" si="2"/>
        <v>0</v>
      </c>
      <c r="J22" s="42">
        <f t="shared" ca="1" si="3"/>
        <v>0</v>
      </c>
      <c r="K22" s="43">
        <f t="shared" ca="1" si="0"/>
        <v>4355400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01">
        <f t="shared" ca="1" si="6"/>
        <v>16</v>
      </c>
      <c r="G23" s="41">
        <f ca="1">IF(ISERROR(OFFSET('HARGA SATUAN'!$I$6,MATCH(C23,'HARGA SATUAN'!$C$7:$C$1509,0),0)),"",OFFSET('HARGA SATUAN'!$I$6,MATCH(C23,'HARGA SATUAN'!$C$7:$C$1509,0),0))</f>
        <v>14200</v>
      </c>
      <c r="H23" s="42">
        <f t="shared" ca="1" si="1"/>
        <v>227200</v>
      </c>
      <c r="I23" s="42">
        <f t="shared" ca="1" si="2"/>
        <v>0</v>
      </c>
      <c r="J23" s="42">
        <f t="shared" ca="1" si="3"/>
        <v>0</v>
      </c>
      <c r="K23" s="43">
        <f t="shared" ca="1" si="0"/>
        <v>227200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01">
        <f t="shared" ca="1" si="6"/>
        <v>35</v>
      </c>
      <c r="G24" s="41">
        <f ca="1">IF(ISERROR(OFFSET('HARGA SATUAN'!$I$6,MATCH(C24,'HARGA SATUAN'!$C$7:$C$1509,0),0)),"",OFFSET('HARGA SATUAN'!$I$6,MATCH(C24,'HARGA SATUAN'!$C$7:$C$1509,0),0))</f>
        <v>4300</v>
      </c>
      <c r="H24" s="42">
        <f t="shared" ca="1" si="1"/>
        <v>150500</v>
      </c>
      <c r="I24" s="42">
        <f t="shared" ca="1" si="2"/>
        <v>0</v>
      </c>
      <c r="J24" s="42">
        <f t="shared" ca="1" si="3"/>
        <v>0</v>
      </c>
      <c r="K24" s="43">
        <f t="shared" ca="1" si="0"/>
        <v>150500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70 mm²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Mtr</v>
      </c>
      <c r="F25" s="101">
        <f t="shared" ca="1" si="6"/>
        <v>25</v>
      </c>
      <c r="G25" s="41">
        <f ca="1">IF(ISERROR(OFFSET('HARGA SATUAN'!$I$6,MATCH(C25,'HARGA SATUAN'!$C$7:$C$1509,0),0)),"",OFFSET('HARGA SATUAN'!$I$6,MATCH(C25,'HARGA SATUAN'!$C$7:$C$1509,0),0))</f>
        <v>94700</v>
      </c>
      <c r="H25" s="42">
        <f t="shared" ca="1" si="1"/>
        <v>2367500</v>
      </c>
      <c r="I25" s="42">
        <f t="shared" ca="1" si="2"/>
        <v>0</v>
      </c>
      <c r="J25" s="42">
        <f t="shared" ca="1" si="3"/>
        <v>0</v>
      </c>
      <c r="K25" s="43">
        <f t="shared" ca="1" si="0"/>
        <v>2367500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2" t="s">
        <v>984</v>
      </c>
      <c r="D168" s="552"/>
      <c r="E168" s="552"/>
      <c r="F168" s="552"/>
      <c r="G168" s="77" t="s">
        <v>9</v>
      </c>
      <c r="H168" s="55">
        <f ca="1">SUM(H14:H167)</f>
        <v>192138100</v>
      </c>
      <c r="I168" s="55">
        <f ca="1">SUM(I14:I167)</f>
        <v>0</v>
      </c>
      <c r="J168" s="55">
        <f ca="1">SUM(J14:J167)</f>
        <v>0</v>
      </c>
      <c r="K168" s="55">
        <f ca="1">SUM(K14:K167)</f>
        <v>192138100</v>
      </c>
      <c r="L168" s="44"/>
      <c r="R168" s="99"/>
      <c r="S168" s="99"/>
      <c r="T168" s="99"/>
    </row>
    <row r="169" spans="1:20" s="36" customFormat="1">
      <c r="A169" s="30"/>
      <c r="B169" s="56"/>
      <c r="C169" s="553" t="s">
        <v>455</v>
      </c>
      <c r="D169" s="553"/>
      <c r="E169" s="553"/>
      <c r="F169" s="553"/>
      <c r="G169" s="59" t="s">
        <v>9</v>
      </c>
      <c r="H169" s="60">
        <f ca="1">H168*0.1</f>
        <v>19213810</v>
      </c>
      <c r="I169" s="60">
        <f ca="1">I168*0.1</f>
        <v>0</v>
      </c>
      <c r="J169" s="60">
        <f ca="1">J168*0.1</f>
        <v>0</v>
      </c>
      <c r="K169" s="60">
        <f ca="1">K168*0.1</f>
        <v>19213810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456</v>
      </c>
      <c r="D170" s="542"/>
      <c r="E170" s="542"/>
      <c r="F170" s="542"/>
      <c r="G170" s="61" t="s">
        <v>9</v>
      </c>
      <c r="H170" s="78">
        <f ca="1">SUM(H168:H169)</f>
        <v>211351910</v>
      </c>
      <c r="I170" s="78">
        <f ca="1">SUM(I168:I169)</f>
        <v>0</v>
      </c>
      <c r="J170" s="61">
        <f ca="1">SUM(J168:J169)</f>
        <v>0</v>
      </c>
      <c r="K170" s="61">
        <f ca="1">SUM(K168:K169)</f>
        <v>211351910</v>
      </c>
      <c r="L170" s="44"/>
      <c r="R170" s="99"/>
      <c r="S170" s="99"/>
      <c r="T170" s="99"/>
    </row>
    <row r="171" spans="1:20" s="36" customFormat="1">
      <c r="A171" s="30"/>
      <c r="B171" s="545" t="e">
        <f ca="1">"Terbilang : ( "&amp;L172&amp;" Rupiah )"</f>
        <v>#NAME?</v>
      </c>
      <c r="C171" s="546"/>
      <c r="D171" s="546"/>
      <c r="E171" s="546"/>
      <c r="F171" s="546"/>
      <c r="G171" s="546"/>
      <c r="H171" s="546"/>
      <c r="I171" s="546"/>
      <c r="J171" s="546"/>
      <c r="K171" s="547"/>
      <c r="L171" s="44"/>
      <c r="R171" s="58"/>
      <c r="S171" s="58"/>
      <c r="T171" s="58"/>
    </row>
    <row r="172" spans="1:20" s="36" customFormat="1">
      <c r="A172" s="30"/>
      <c r="B172" s="548"/>
      <c r="C172" s="549"/>
      <c r="D172" s="549"/>
      <c r="E172" s="549"/>
      <c r="F172" s="549"/>
      <c r="G172" s="549"/>
      <c r="H172" s="549"/>
      <c r="I172" s="549"/>
      <c r="J172" s="549"/>
      <c r="K172" s="550"/>
      <c r="L172" s="62" t="e">
        <f ca="1">PROPER([163]!terbilang(K170))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Standart'!$F$14:$F$142,'RAB Standart'!$C$14:$C$142,C224)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Standart'!$F$14:$F$142,'RAB Standart'!$C$14:$C$142,C225)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Standart'!$F$14:$F$142,'RAB Standart'!$C$14:$C$142,C226)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Standart'!$F$14:$F$142,'RAB Standart'!$C$14:$C$142,C227)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Standart'!$F$14:$F$142,'RAB Standart'!$C$14:$C$142,C228)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Standart'!$F$14:$F$142,'RAB Standart'!$C$14:$C$142,C229)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Standart'!$F$14:$F$142,'RAB Standart'!$C$14:$C$142,C230)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Standart'!$F$14:$F$142,'RAB Standart'!$C$14:$C$142,C231)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Standart'!$F$14:$F$142,'RAB Standart'!$C$14:$C$142,C232)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Standart'!$F$14:$F$142,'RAB Standart'!$C$14:$C$142,C233)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Standart'!$F$14:$F$142,'RAB Standart'!$C$14:$C$142,C234)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Standart'!$F$14:$F$142,'RAB Standart'!$C$14:$C$142,C235)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Standart'!$F$14:$F$142,'RAB Standart'!$C$14:$C$142,C236)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Standart'!$F$14:$F$142,'RAB Standart'!$C$14:$C$142,C237)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Standart'!$F$14:$F$142,'RAB Standart'!$C$14:$C$142,C238)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Standart'!$F$14:$F$142,'RAB Standart'!$C$14:$C$142,C239)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Standart'!$F$14:$F$142,'RAB Standart'!$C$14:$C$142,C240)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Standart'!$F$14:$F$142,'RAB Standart'!$C$14:$C$142,C241)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Standart'!$F$14:$F$142,'RAB Standart'!$C$14:$C$142,C242)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Standart'!$F$14:$F$142,'RAB Standart'!$C$14:$C$142,C243)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Standart'!$F$14:$F$142,'RAB Standart'!$C$14:$C$142,C244)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Standart'!$F$14:$F$142,'RAB Standart'!$C$14:$C$142,C245)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Standart'!$F$14:$F$142,'RAB Standart'!$C$14:$C$142,C246)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Standart'!$F$14:$F$142,'RAB Standart'!$C$14:$C$142,C247)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Standart'!$F$14:$F$142,'RAB Standart'!$C$14:$C$142,C248)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Standart'!$F$14:$F$142,'RAB Standart'!$C$14:$C$142,C249)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Standart'!$F$14:$F$142,'RAB Standart'!$C$14:$C$142,C250)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Standart'!$F$14:$F$142,'RAB Standart'!$C$14:$C$142,C251)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Standart'!$F$14:$F$142,'RAB Standart'!$C$14:$C$142,C252)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Standart'!$F$14:$F$142,'RAB Standart'!$C$14:$C$142,C253)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Standart'!$F$14:$F$142,'RAB Standart'!$C$14:$C$142,C254)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Standart'!$F$14:$F$142,'RAB Standart'!$C$14:$C$142,C255)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Standart'!$F$14:$F$142,'RAB Standart'!$C$14:$C$142,C256)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Standart'!$F$14:$F$142,'RAB Standart'!$C$14:$C$142,C257)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Standart'!$F$14:$F$142,'RAB Standart'!$C$14:$C$142,C258)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Standart'!$F$14:$F$142,'RAB Standart'!$C$14:$C$142,C259)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Standart'!$F$14:$F$142,'RAB Standart'!$C$14:$C$142,C260)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Standart'!$F$14:$F$142,'RAB Standart'!$C$14:$C$142,C261)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Standart'!$F$14:$F$142,'RAB Standart'!$C$14:$C$142,C262)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Standart'!$F$14:$F$142,'RAB Standart'!$C$14:$C$142,C263)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Standart'!$F$14:$F$142,'RAB Standart'!$C$14:$C$142,C264)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Standart'!$F$14:$F$142,'RAB Standart'!$C$14:$C$142,C265)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Standart'!$F$14:$F$142,'RAB Standart'!$C$14:$C$142,C266)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Standart'!$F$14:$F$142,'RAB Standart'!$C$14:$C$142,C267)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Standart'!$F$14:$F$142,'RAB Standart'!$C$14:$C$142,C268)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Standart'!$F$14:$F$142,'RAB Standart'!$C$14:$C$142,C269)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Standart'!$F$14:$F$142,'RAB Standart'!$C$14:$C$142,C270)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Standart'!$F$14:$F$142,'RAB Standart'!$C$14:$C$142,C271)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Standart'!$F$14:$F$142,'RAB Standart'!$C$14:$C$142,C272)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Standart'!$F$14:$F$142,'RAB Standart'!$C$14:$C$142,C273)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Standart'!$F$14:$F$142,'RAB Standart'!$C$14:$C$142,C274)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Standart'!$F$14:$F$142,'RAB Standart'!$C$14:$C$142,C275)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Standart'!$F$14:$F$142,'RAB Standart'!$C$14:$C$142,C276)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Standart'!$F$14:$F$142,'RAB Standart'!$C$14:$C$142,C277)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Standart'!$F$14:$F$142,'RAB Standart'!$C$14:$C$142,C278)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Standart'!$F$14:$F$142,'RAB Standart'!$C$14:$C$142,C279)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Standart'!$F$14:$F$142,'RAB Standart'!$C$14:$C$142,C280)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Standart'!$F$14:$F$142,'RAB Standart'!$C$14:$C$142,C281)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Standart'!$F$14:$F$142,'RAB Standart'!$C$14:$C$142,C282)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Standart'!$F$14:$F$142,'RAB Standart'!$C$14:$C$142,C283)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Standart'!$F$14:$F$142,'RAB Standart'!$C$14:$C$142,C284)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Standart'!$F$14:$F$142,'RAB Standart'!$C$14:$C$142,C285)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Standart'!$F$14:$F$142,'RAB Standart'!$C$14:$C$142,C286)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Standart'!$F$14:$F$142,'RAB Standart'!$C$14:$C$142,C287)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Standart'!$F$14:$F$142,'RAB Standart'!$C$14:$C$142,C288)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Standart'!$F$14:$F$142,'RAB Standart'!$C$14:$C$142,C289)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Standart'!$F$14:$F$142,'RAB Standart'!$C$14:$C$142,C290)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Standart'!$F$14:$F$142,'RAB Standart'!$C$14:$C$142,C291)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Standart'!$F$14:$F$142,'RAB Standart'!$C$14:$C$142,C292)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Standart'!$F$14:$F$142,'RAB Standart'!$C$14:$C$142,C293)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Standart'!$F$14:$F$142,'RAB Standart'!$C$14:$C$142,C294)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Standart'!$F$14:$F$142,'RAB Standart'!$C$14:$C$142,C295)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Standart'!$F$14:$F$142,'RAB Standart'!$C$14:$C$142,C296)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Standart'!$F$14:$F$142,'RAB Standart'!$C$14:$C$142,C297)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Standart'!$F$14:$F$142,'RAB Standart'!$C$14:$C$142,C298)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Standart'!$F$14:$F$142,'RAB Standart'!$C$14:$C$142,C299)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Standart'!$F$14:$F$142,'RAB Standart'!$C$14:$C$142,C300)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Standart'!$F$14:$F$142,'RAB Standart'!$C$14:$C$142,C301)</f>
        <v>1</v>
      </c>
      <c r="E301" s="24">
        <f t="shared" ca="1" si="22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Standart'!$F$14:$F$142,'RAB Standart'!$C$14:$C$142,C302)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Standart'!$F$14:$F$142,'RAB Standart'!$C$14:$C$142,C303)</f>
        <v>1</v>
      </c>
      <c r="E303" s="24">
        <f t="shared" ca="1" si="22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Standart'!$F$14:$F$142,'RAB Standart'!$C$14:$C$142,C304)</f>
        <v>1</v>
      </c>
      <c r="E304" s="24">
        <f t="shared" ca="1" si="22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Standart'!$F$14:$F$142,'RAB Standart'!$C$14:$C$142,C305)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Standart'!$F$14:$F$142,'RAB Standart'!$C$14:$C$142,C306)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Standart'!$F$14:$F$142,'RAB Standart'!$C$14:$C$142,C307)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Standart'!$F$14:$F$142,'RAB Standart'!$C$14:$C$142,C308)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Standart'!$F$14:$F$142,'RAB Standart'!$C$14:$C$142,C309)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Standart'!$F$14:$F$142,'RAB Standart'!$C$14:$C$142,C310)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Standart'!$F$14:$F$142,'RAB Standart'!$C$14:$C$142,C311)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Standart'!$F$14:$F$142,'RAB Standart'!$C$14:$C$142,C312)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Standart'!$F$14:$F$142,'RAB Standart'!$C$14:$C$142,C313)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Standart'!$F$14:$F$142,'RAB Standart'!$C$14:$C$142,C314)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Standart'!$F$14:$F$142,'RAB Standart'!$C$14:$C$142,C315)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Standart'!$F$14:$F$142,'RAB Standart'!$C$14:$C$142,C316)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Standart'!$F$14:$F$142,'RAB Standart'!$C$14:$C$142,C317)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Standart'!$F$14:$F$142,'RAB Standart'!$C$14:$C$142,C318)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Standart'!$F$14:$F$142,'RAB Standart'!$C$14:$C$142,C319)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Standart'!$F$14:$F$142,'RAB Standart'!$C$14:$C$142,C320)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Standart'!$F$14:$F$142,'RAB Standart'!$C$14:$C$142,C321)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Standart'!$F$14:$F$142,'RAB Standart'!$C$14:$C$142,C322)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Standart'!$F$14:$F$142,'RAB Standart'!$C$14:$C$142,C323)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Standart'!$F$14:$F$142,'RAB Standart'!$C$14:$C$142,C324)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Standart'!$F$14:$F$142,'RAB Standart'!$C$14:$C$142,C325)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Standart'!$F$14:$F$142,'RAB Standart'!$C$14:$C$142,C326)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Standart'!$F$14:$F$142,'RAB Standart'!$C$14:$C$142,C327)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Standart'!$F$14:$F$142,'RAB Standart'!$C$14:$C$142,C328)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Standart'!$F$14:$F$142,'RAB Standart'!$C$14:$C$142,C329)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Lightning Arester (Polymer) 21 KV, 10 KA</v>
      </c>
      <c r="D330" s="72">
        <f ca="1">SUMIFS('RAB Standart'!$F$14:$F$142,'RAB Standart'!$C$14:$C$142,C330)</f>
        <v>6</v>
      </c>
      <c r="E330" s="24">
        <f t="shared" ca="1" si="22"/>
        <v>1</v>
      </c>
      <c r="F330" s="24">
        <f ca="1">IF(D330=0,0,SUM($E$223:E330))</f>
        <v>7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Lightning Arester (Polymer) 24 KV, 10 KA</v>
      </c>
      <c r="D331" s="72">
        <f ca="1">SUMIFS('RAB Standart'!$F$14:$F$142,'RAB Standart'!$C$14:$C$142,C331)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Isolator Tumpu ( Pin Post ) 20 KV Porcelein</v>
      </c>
      <c r="D332" s="72">
        <f ca="1">SUMIFS('RAB Standart'!$F$14:$F$142,'RAB Standart'!$C$14:$C$142,C332)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Isolator Tumpu ( Pin Post ) 20 KV</v>
      </c>
      <c r="D333" s="72">
        <f ca="1">SUMIFS('RAB Standart'!$F$14:$F$142,'RAB Standart'!$C$14:$C$142,C333)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Isolator Tumpu ( Line Post ) 20 KV Polymer</v>
      </c>
      <c r="D334" s="72">
        <f ca="1">SUMIFS('RAB Standart'!$F$14:$F$142,'RAB Standart'!$C$14:$C$142,C334)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Line Post ) 20 KV</v>
      </c>
      <c r="D335" s="72">
        <f ca="1">SUMIFS('RAB Standart'!$F$14:$F$142,'RAB Standart'!$C$14:$C$142,C335)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Tarik ( Strainkap Porcelain ) 20 KV</v>
      </c>
      <c r="D336" s="72">
        <f ca="1">SUMIFS('RAB Standart'!$F$14:$F$142,'RAB Standart'!$C$14:$C$142,C336)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Tarik ( Suspension Polymer ) 20 KV</v>
      </c>
      <c r="D337" s="72">
        <f ca="1">SUMIFS('RAB Standart'!$F$14:$F$142,'RAB Standart'!$C$14:$C$142,C337)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Tarik ( Porcelain ) 20 KV + Primary Dead End Clamp 150-240 mm²</v>
      </c>
      <c r="D338" s="72">
        <f ca="1">SUMIFS('RAB Standart'!$F$14:$F$142,'RAB Standart'!$C$14:$C$142,C338)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AAAC 70 mm²</v>
      </c>
      <c r="D339" s="72">
        <f ca="1">SUMIFS('RAB Standart'!$F$14:$F$142,'RAB Standart'!$C$14:$C$142,C339)</f>
        <v>16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AAAC 150 mm²</v>
      </c>
      <c r="D340" s="72">
        <f ca="1">SUMIFS('RAB Standart'!$F$14:$F$142,'RAB Standart'!$C$14:$C$142,C340)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AAAC 240 mm²</v>
      </c>
      <c r="D341" s="72">
        <f ca="1">SUMIFS('RAB Standart'!$F$14:$F$142,'RAB Standart'!$C$14:$C$142,C341)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AAAC/S 70 mm²</v>
      </c>
      <c r="D342" s="72">
        <f ca="1">SUMIFS('RAB Standart'!$F$14:$F$142,'RAB Standart'!$C$14:$C$142,C342)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AAAC/S 150 mm²</v>
      </c>
      <c r="D343" s="72">
        <f ca="1">SUMIFS('RAB Standart'!$F$14:$F$142,'RAB Standart'!$C$14:$C$142,C343)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AAAC/S 240 mm²</v>
      </c>
      <c r="D344" s="72">
        <f ca="1">SUMIFS('RAB Standart'!$F$14:$F$142,'RAB Standart'!$C$14:$C$142,C344)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NFA2X-T 2 x 70 + N 50 mm²</v>
      </c>
      <c r="D345" s="72">
        <f ca="1">SUMIFS('RAB Standart'!$F$14:$F$142,'RAB Standart'!$C$14:$C$142,C345)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NFA2X-T 2 x 70 + N 70 mm²</v>
      </c>
      <c r="D346" s="72">
        <f ca="1">SUMIFS('RAB Standart'!$F$14:$F$142,'RAB Standart'!$C$14:$C$142,C346)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NFA2X-T 3x35+1x35</v>
      </c>
      <c r="D347" s="72">
        <f ca="1">SUMIFS('RAB Standart'!$F$14:$F$142,'RAB Standart'!$C$14:$C$142,C347)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3x70+1x70</v>
      </c>
      <c r="D348" s="72">
        <f ca="1">SUMIFS('RAB Standart'!$F$14:$F$142,'RAB Standart'!$C$14:$C$142,C348)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 2 x 10 mm²</v>
      </c>
      <c r="D349" s="72">
        <f ca="1">SUMIFS('RAB Standart'!$F$14:$F$142,'RAB Standart'!$C$14:$C$142,C349)</f>
        <v>35</v>
      </c>
      <c r="E349" s="24">
        <f t="shared" ca="1" si="22"/>
        <v>1</v>
      </c>
      <c r="F349" s="24">
        <f ca="1">IF(D349=0,0,SUM($E$223:E349))</f>
        <v>9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 2 x 16 mm²</v>
      </c>
      <c r="D350" s="72">
        <f ca="1">SUMIFS('RAB Standart'!$F$14:$F$142,'RAB Standart'!$C$14:$C$142,C350)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 4 x 16 mm²</v>
      </c>
      <c r="D351" s="72">
        <f ca="1">SUMIFS('RAB Standart'!$F$14:$F$142,'RAB Standart'!$C$14:$C$142,C351)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4 x 70 mm²</v>
      </c>
      <c r="D352" s="72">
        <f ca="1">SUMIFS('RAB Standart'!$F$14:$F$142,'RAB Standart'!$C$14:$C$142,C352)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Kabel NYY 1 x 70 mm²</v>
      </c>
      <c r="D353" s="72">
        <f ca="1">SUMIFS('RAB Standart'!$F$14:$F$142,'RAB Standart'!$C$14:$C$142,C353)</f>
        <v>25</v>
      </c>
      <c r="E353" s="24">
        <f t="shared" ref="E353:E373" ca="1" si="23">IF(D353=0,0,1)</f>
        <v>1</v>
      </c>
      <c r="F353" s="24">
        <f ca="1">IF(D353=0,0,SUM($E$223:E353))</f>
        <v>10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Kabel NYY 1 x 95 mm²</v>
      </c>
      <c r="D354" s="72">
        <f ca="1">SUMIFS('RAB Standart'!$F$14:$F$142,'RAB Standart'!$C$14:$C$142,C354)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Kabel NYY 1 x 150 mm²</v>
      </c>
      <c r="D355" s="72">
        <f ca="1">SUMIFS('RAB Standart'!$F$14:$F$142,'RAB Standart'!$C$14:$C$142,C355)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240 mm²</v>
      </c>
      <c r="D356" s="72">
        <f ca="1">SUMIFS('RAB Standart'!$F$14:$F$142,'RAB Standart'!$C$14:$C$142,C356)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4 x 70 mm²</v>
      </c>
      <c r="D357" s="72">
        <f ca="1">SUMIFS('RAB Standart'!$F$14:$F$142,'RAB Standart'!$C$14:$C$142,C357)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NA2XSEYBY 20 KV, 3 x 150 mm²</v>
      </c>
      <c r="D358" s="72">
        <f ca="1">SUMIFS('RAB Standart'!$F$14:$F$142,'RAB Standart'!$C$14:$C$142,C358)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NA2XSEYBY 20 KV, 3 x 240 mm²</v>
      </c>
      <c r="D359" s="72">
        <f ca="1">SUMIFS('RAB Standart'!$F$14:$F$142,'RAB Standart'!$C$14:$C$142,C359)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NA2XSEYBY 20 KV, 3 x 300 mm²</v>
      </c>
      <c r="D360" s="72">
        <f ca="1">SUMIFS('RAB Standart'!$F$14:$F$142,'RAB Standart'!$C$14:$C$142,C360)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MVTIC 3 x 150 + N 95 mm²</v>
      </c>
      <c r="D361" s="72">
        <f ca="1">SUMIFS('RAB Standart'!$F$14:$F$142,'RAB Standart'!$C$14:$C$142,C361)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MVTIC 3 x 240 + N 95 mm²</v>
      </c>
      <c r="D362" s="72">
        <f ca="1">SUMIFS('RAB Standart'!$F$14:$F$142,'RAB Standart'!$C$14:$C$142,C362)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/>
      </c>
      <c r="D363" s="72">
        <f ca="1">SUMIFS('RAB Standart'!$F$14:$F$142,'RAB Standart'!$C$14:$C$142,C363)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/>
      </c>
      <c r="D364" s="72">
        <f ca="1">SUMIFS('RAB Standart'!$F$14:$F$142,'RAB Standart'!$C$14:$C$142,C364)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/>
      </c>
      <c r="D365" s="72">
        <f ca="1">SUMIFS('RAB Standart'!$F$14:$F$142,'RAB Standart'!$C$14:$C$142,C365)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Standart'!$F$14:$F$142,'RAB Standart'!$C$14:$C$142,C366)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Standart'!$F$14:$F$142,'RAB Standart'!$C$14:$C$142,C367)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Standart'!$F$14:$F$142,'RAB Standart'!$C$14:$C$142,C368)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Standart'!$F$14:$F$142,'RAB Standart'!$C$14:$C$142,C369)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Standart'!$F$14:$F$142,'RAB Standart'!$C$14:$C$142,C370)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Standart'!$F$14:$F$142,'RAB Standart'!$C$14:$C$142,C371)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Standart'!$F$14:$F$142,'RAB Standart'!$C$14:$C$142,C372)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Standart'!$F$14:$F$142,'RAB Standart'!$C$14:$C$142,C373)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2" priority="5" operator="equal">
      <formula>0</formula>
    </cfRule>
  </conditionalFormatting>
  <conditionalFormatting sqref="C16:C165">
    <cfRule type="cellIs" dxfId="31" priority="4" stopIfTrue="1" operator="equal">
      <formula>0</formula>
    </cfRule>
  </conditionalFormatting>
  <conditionalFormatting sqref="C16:E165">
    <cfRule type="cellIs" dxfId="30" priority="1" operator="equal">
      <formula>0</formula>
    </cfRule>
  </conditionalFormatting>
  <conditionalFormatting sqref="D224:F373">
    <cfRule type="cellIs" dxfId="29" priority="8" operator="equal">
      <formula>0</formula>
    </cfRule>
  </conditionalFormatting>
  <conditionalFormatting sqref="E1:E3 G1:G115 E6:E15 H12:I12 N13 F14:F15 H14:K115 E166:K166 G166:G223 E167:F167 H167:K167">
    <cfRule type="cellIs" dxfId="28" priority="43" stopIfTrue="1" operator="equal">
      <formula>0</formula>
    </cfRule>
  </conditionalFormatting>
  <conditionalFormatting sqref="E171:E65536">
    <cfRule type="cellIs" dxfId="27" priority="9" stopIfTrue="1" operator="equal">
      <formula>0</formula>
    </cfRule>
  </conditionalFormatting>
  <conditionalFormatting sqref="G224">
    <cfRule type="cellIs" dxfId="26" priority="10" operator="equal">
      <formula>0</formula>
    </cfRule>
  </conditionalFormatting>
  <conditionalFormatting sqref="G225:G65536">
    <cfRule type="cellIs" dxfId="25" priority="14" stopIfTrue="1" operator="equal">
      <formula>0</formula>
    </cfRule>
  </conditionalFormatting>
  <conditionalFormatting sqref="R14:T166 G116:K165">
    <cfRule type="cellIs" dxfId="2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3" t="s">
        <v>1426</v>
      </c>
      <c r="C2" s="573"/>
      <c r="D2" s="573"/>
      <c r="E2" s="573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78" t="s">
        <v>1500</v>
      </c>
      <c r="C4" s="579"/>
      <c r="D4" s="579"/>
      <c r="E4" s="580"/>
      <c r="F4" s="351"/>
      <c r="G4" s="351"/>
      <c r="H4" s="352"/>
      <c r="I4" s="607" t="s">
        <v>1501</v>
      </c>
      <c r="J4" s="608"/>
      <c r="K4" s="608"/>
      <c r="L4" s="609"/>
    </row>
    <row r="5" spans="1:12" ht="34.5" customHeight="1">
      <c r="A5" s="193"/>
      <c r="B5" s="354" t="s">
        <v>1352</v>
      </c>
      <c r="C5" s="200" t="s">
        <v>9</v>
      </c>
      <c r="D5" s="574" t="str">
        <f>DATA!D14</f>
        <v>PD An. CV ANUGRAH TIMBERINDO</v>
      </c>
      <c r="E5" s="575"/>
      <c r="F5" s="197"/>
      <c r="G5" s="197"/>
      <c r="I5" s="355" t="s">
        <v>1352</v>
      </c>
      <c r="J5" s="200" t="s">
        <v>9</v>
      </c>
      <c r="K5" s="610" t="str">
        <f>D5</f>
        <v>PD An. CV ANUGRAH TIMBERINDO</v>
      </c>
      <c r="L5" s="611"/>
    </row>
    <row r="6" spans="1:12" ht="31.5" customHeight="1">
      <c r="A6" s="193"/>
      <c r="B6" s="354" t="s">
        <v>1497</v>
      </c>
      <c r="C6" s="200" t="s">
        <v>9</v>
      </c>
      <c r="D6" s="583">
        <f>DATA!D17*1000</f>
        <v>197000</v>
      </c>
      <c r="E6" s="584"/>
      <c r="F6" s="197"/>
      <c r="G6" s="197"/>
      <c r="I6" s="355" t="s">
        <v>1498</v>
      </c>
      <c r="J6" s="200" t="s">
        <v>9</v>
      </c>
      <c r="K6" s="612">
        <f>DATA!D20*1000</f>
        <v>345000</v>
      </c>
      <c r="L6" s="613"/>
    </row>
    <row r="7" spans="1:12" ht="30.75" customHeight="1">
      <c r="A7" s="193"/>
      <c r="B7" s="354" t="s">
        <v>1413</v>
      </c>
      <c r="C7" s="200" t="s">
        <v>9</v>
      </c>
      <c r="D7" s="581">
        <f>DATA!D18</f>
        <v>3</v>
      </c>
      <c r="E7" s="582"/>
      <c r="F7" s="353" t="s">
        <v>1425</v>
      </c>
      <c r="I7" s="355" t="s">
        <v>1413</v>
      </c>
      <c r="J7" s="200" t="s">
        <v>9</v>
      </c>
      <c r="K7" s="614">
        <f>DATA!D21</f>
        <v>3</v>
      </c>
      <c r="L7" s="615"/>
    </row>
    <row r="8" spans="1:12" ht="51" customHeight="1">
      <c r="A8" s="193"/>
      <c r="B8" s="354" t="s">
        <v>1414</v>
      </c>
      <c r="C8" s="200" t="s">
        <v>9</v>
      </c>
      <c r="D8" s="581">
        <f>DATA!D19</f>
        <v>380</v>
      </c>
      <c r="E8" s="582"/>
      <c r="F8" s="353" t="s">
        <v>1425</v>
      </c>
      <c r="G8" s="348">
        <v>220</v>
      </c>
      <c r="I8" s="355" t="s">
        <v>1414</v>
      </c>
      <c r="J8" s="200" t="s">
        <v>9</v>
      </c>
      <c r="K8" s="614">
        <f>DATA!D22</f>
        <v>380</v>
      </c>
      <c r="L8" s="615"/>
    </row>
    <row r="9" spans="1:12" ht="30" customHeight="1" thickBot="1">
      <c r="A9" s="193"/>
      <c r="B9" s="360" t="s">
        <v>1509</v>
      </c>
      <c r="C9" s="350" t="s">
        <v>9</v>
      </c>
      <c r="D9" s="576">
        <f>IF(D7=1,D6/(380/3^0.5),(D6/(380*3^0.5)))</f>
        <v>299.31053429041128</v>
      </c>
      <c r="E9" s="577"/>
      <c r="F9" s="196"/>
      <c r="G9" s="349">
        <v>380</v>
      </c>
      <c r="I9" s="361" t="s">
        <v>1509</v>
      </c>
      <c r="J9" s="350" t="s">
        <v>9</v>
      </c>
      <c r="K9" s="618">
        <f>IF(K7=1,K6/(380/3^0.5),(K6/(380*3^0.5)))</f>
        <v>524.17327071163402</v>
      </c>
      <c r="L9" s="619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.5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585"/>
      <c r="E12" s="586"/>
      <c r="F12" s="197"/>
      <c r="G12" s="197"/>
      <c r="I12" s="377" t="s">
        <v>1502</v>
      </c>
      <c r="J12" s="378" t="s">
        <v>9</v>
      </c>
      <c r="K12" s="587"/>
      <c r="L12" s="588"/>
    </row>
    <row r="13" spans="1:12" ht="31.5" customHeight="1">
      <c r="A13" s="193"/>
      <c r="B13" s="385" t="s">
        <v>1353</v>
      </c>
      <c r="C13" s="365" t="s">
        <v>9</v>
      </c>
      <c r="D13" s="591"/>
      <c r="E13" s="592"/>
      <c r="F13" s="197"/>
      <c r="G13" s="197"/>
      <c r="I13" s="379" t="s">
        <v>1353</v>
      </c>
      <c r="J13" s="365" t="s">
        <v>9</v>
      </c>
      <c r="K13" s="616"/>
      <c r="L13" s="617"/>
    </row>
    <row r="14" spans="1:12" ht="30.75" customHeight="1">
      <c r="A14" s="193"/>
      <c r="B14" s="385" t="s">
        <v>1503</v>
      </c>
      <c r="C14" s="365" t="s">
        <v>9</v>
      </c>
      <c r="D14" s="599">
        <v>50</v>
      </c>
      <c r="E14" s="600"/>
      <c r="F14" s="353" t="s">
        <v>1425</v>
      </c>
      <c r="G14" s="357">
        <v>50</v>
      </c>
      <c r="I14" s="379" t="s">
        <v>1503</v>
      </c>
      <c r="J14" s="365" t="s">
        <v>9</v>
      </c>
      <c r="K14" s="601">
        <v>200</v>
      </c>
      <c r="L14" s="602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603">
        <v>100</v>
      </c>
      <c r="E16" s="604"/>
      <c r="F16" s="353"/>
      <c r="G16" s="357">
        <v>160</v>
      </c>
      <c r="I16" s="379" t="s">
        <v>1505</v>
      </c>
      <c r="J16" s="365" t="s">
        <v>9</v>
      </c>
      <c r="K16" s="605">
        <f>K9</f>
        <v>524.17327071163402</v>
      </c>
      <c r="L16" s="606"/>
    </row>
    <row r="17" spans="1:12" ht="34.5" customHeight="1">
      <c r="A17" s="193"/>
      <c r="B17" s="385" t="s">
        <v>1506</v>
      </c>
      <c r="C17" s="365" t="s">
        <v>9</v>
      </c>
      <c r="D17" s="593">
        <f>IF(D15=1,D14/(20/3^0.5),(D14/(20*3^0.5)))</f>
        <v>1.4433756729740645</v>
      </c>
      <c r="E17" s="594"/>
      <c r="F17" s="353" t="s">
        <v>1425</v>
      </c>
      <c r="G17" s="358">
        <v>200</v>
      </c>
      <c r="I17" s="379" t="s">
        <v>1506</v>
      </c>
      <c r="J17" s="365" t="s">
        <v>9</v>
      </c>
      <c r="K17" s="597">
        <f>IF(K15=1,K14/(20/3^0.5),(K14/(20*3^0.5)))</f>
        <v>5.7735026918962582</v>
      </c>
      <c r="L17" s="598"/>
    </row>
    <row r="18" spans="1:12" ht="34.5" customHeight="1">
      <c r="A18" s="193"/>
      <c r="B18" s="385" t="s">
        <v>1507</v>
      </c>
      <c r="C18" s="365" t="s">
        <v>9</v>
      </c>
      <c r="D18" s="593">
        <f>IF(D15=1,D14/(380/3^0.5),(D14/(380*3^0.5)))*1000</f>
        <v>75.96714068284551</v>
      </c>
      <c r="E18" s="594"/>
      <c r="F18" s="353" t="s">
        <v>1425</v>
      </c>
      <c r="G18" s="358">
        <v>250</v>
      </c>
      <c r="I18" s="379" t="s">
        <v>1507</v>
      </c>
      <c r="J18" s="365" t="s">
        <v>9</v>
      </c>
      <c r="K18" s="597">
        <f>IF(K15=1,K14/(380/3^0.5),(K14/(380*3^0.5)))*1000</f>
        <v>303.86856273138204</v>
      </c>
      <c r="L18" s="598"/>
    </row>
    <row r="19" spans="1:12" ht="30" customHeight="1">
      <c r="A19" s="193"/>
      <c r="B19" s="386" t="s">
        <v>1499</v>
      </c>
      <c r="C19" s="364" t="s">
        <v>9</v>
      </c>
      <c r="D19" s="593">
        <f>IF(D15=1,D13/(380/3^0.5),(D13/(380*3^0.5)))</f>
        <v>0</v>
      </c>
      <c r="E19" s="594"/>
      <c r="F19" s="196"/>
      <c r="G19" s="349"/>
      <c r="I19" s="381" t="s">
        <v>1499</v>
      </c>
      <c r="J19" s="364" t="s">
        <v>9</v>
      </c>
      <c r="K19" s="597">
        <f>IF(K15=1,K13/(380/3^0.5),(K13/(380*3^0.5)))</f>
        <v>0</v>
      </c>
      <c r="L19" s="598"/>
    </row>
    <row r="20" spans="1:12" ht="30" customHeight="1" thickBot="1">
      <c r="A20" s="193"/>
      <c r="B20" s="387" t="s">
        <v>1508</v>
      </c>
      <c r="C20" s="383" t="s">
        <v>9</v>
      </c>
      <c r="D20" s="589">
        <f>D16/D18</f>
        <v>1.3163586137523464</v>
      </c>
      <c r="E20" s="590"/>
      <c r="F20" s="196"/>
      <c r="G20" s="349"/>
      <c r="I20" s="382" t="s">
        <v>1499</v>
      </c>
      <c r="J20" s="383" t="s">
        <v>9</v>
      </c>
      <c r="K20" s="595">
        <f>K16/K18</f>
        <v>1.7250000000000001</v>
      </c>
      <c r="L20" s="596"/>
    </row>
    <row r="21" spans="1:12" ht="9.75" customHeight="1">
      <c r="A21" s="193"/>
      <c r="B21" s="372" t="s">
        <v>1508</v>
      </c>
      <c r="C21" s="373" t="s">
        <v>9</v>
      </c>
      <c r="D21" s="572">
        <v>1</v>
      </c>
      <c r="E21" s="572"/>
      <c r="F21" s="374"/>
      <c r="G21" s="375"/>
      <c r="H21" s="376"/>
      <c r="I21" s="372" t="s">
        <v>1499</v>
      </c>
      <c r="J21" s="373" t="s">
        <v>9</v>
      </c>
      <c r="K21" s="572">
        <v>1</v>
      </c>
      <c r="L21" s="572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.75" thickBot="1"/>
    <row r="24" spans="1:12" ht="200.25" customHeight="1" thickBot="1">
      <c r="B24" s="569"/>
      <c r="C24" s="570"/>
      <c r="D24" s="570"/>
      <c r="E24" s="571"/>
      <c r="I24" s="569"/>
      <c r="J24" s="570"/>
      <c r="K24" s="570"/>
      <c r="L24" s="571"/>
    </row>
    <row r="26" spans="1:12">
      <c r="D26" s="367"/>
    </row>
    <row r="27" spans="1:12">
      <c r="D27" s="36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abSelected="1" topLeftCell="B7" zoomScaleNormal="100" workbookViewId="0">
      <selection activeCell="F16" sqref="F16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20"/>
      <c r="C1" s="620"/>
      <c r="D1" s="620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1322</v>
      </c>
      <c r="C3" s="215" t="s">
        <v>9</v>
      </c>
      <c r="D3" s="216">
        <v>2023</v>
      </c>
    </row>
    <row r="4" spans="2:11" ht="20.100000000000001" customHeight="1">
      <c r="B4" s="214" t="s">
        <v>1003</v>
      </c>
      <c r="C4" s="215" t="s">
        <v>9</v>
      </c>
      <c r="D4" s="217">
        <v>0.12</v>
      </c>
    </row>
    <row r="5" spans="2:11" ht="20.100000000000001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00000000000001" customHeight="1">
      <c r="B6" s="214" t="s">
        <v>1324</v>
      </c>
      <c r="C6" s="215" t="s">
        <v>9</v>
      </c>
      <c r="D6" s="219">
        <v>25</v>
      </c>
      <c r="F6" s="392"/>
    </row>
    <row r="7" spans="2:11" ht="20.100000000000001" customHeight="1">
      <c r="B7" s="214" t="s">
        <v>1325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148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93388000</v>
      </c>
    </row>
    <row r="10" spans="2:11" ht="20.100000000000001" customHeight="1">
      <c r="B10" s="214" t="s">
        <v>1418</v>
      </c>
      <c r="C10" s="215" t="s">
        <v>9</v>
      </c>
      <c r="D10" s="221">
        <f ca="1">'RAB Standart'!K148</f>
        <v>273300636.56672311</v>
      </c>
    </row>
    <row r="11" spans="2:11" ht="20.100000000000001" customHeight="1">
      <c r="B11" s="214" t="s">
        <v>1329</v>
      </c>
      <c r="C11" s="215" t="s">
        <v>9</v>
      </c>
      <c r="D11" s="218">
        <f ca="1">2%*D10</f>
        <v>5466012.7313344618</v>
      </c>
    </row>
    <row r="12" spans="2:11" ht="9" customHeight="1">
      <c r="B12" s="621"/>
      <c r="C12" s="621"/>
      <c r="D12" s="621"/>
    </row>
    <row r="13" spans="2:11" ht="15.75" customHeight="1">
      <c r="B13" s="222"/>
      <c r="C13" s="222"/>
      <c r="D13" s="222"/>
    </row>
    <row r="14" spans="2:11" ht="33.75" customHeight="1">
      <c r="B14" s="338" t="s">
        <v>1352</v>
      </c>
      <c r="C14" s="339" t="s">
        <v>9</v>
      </c>
      <c r="D14" s="344" t="s">
        <v>1673</v>
      </c>
      <c r="E14" s="223" t="s">
        <v>1425</v>
      </c>
    </row>
    <row r="15" spans="2:11" ht="20.100000000000001" customHeight="1">
      <c r="B15" s="340" t="s">
        <v>1419</v>
      </c>
      <c r="C15" s="341" t="s">
        <v>9</v>
      </c>
      <c r="D15" s="345" t="s">
        <v>1654</v>
      </c>
      <c r="E15" s="223" t="s">
        <v>1425</v>
      </c>
    </row>
    <row r="16" spans="2:11" ht="20.100000000000001" customHeight="1">
      <c r="B16" s="340" t="s">
        <v>1420</v>
      </c>
      <c r="C16" s="341" t="s">
        <v>9</v>
      </c>
      <c r="D16" s="345" t="s">
        <v>1423</v>
      </c>
      <c r="E16" s="223" t="s">
        <v>1425</v>
      </c>
    </row>
    <row r="17" spans="2:5" ht="20.100000000000001" customHeight="1">
      <c r="B17" s="340" t="s">
        <v>1421</v>
      </c>
      <c r="C17" s="341" t="s">
        <v>9</v>
      </c>
      <c r="D17" s="346">
        <v>197</v>
      </c>
      <c r="E17" s="223" t="s">
        <v>1425</v>
      </c>
    </row>
    <row r="18" spans="2:5" ht="20.100000000000001" hidden="1" customHeight="1">
      <c r="B18" s="340" t="s">
        <v>1511</v>
      </c>
      <c r="C18" s="341"/>
      <c r="D18" s="346">
        <f>IF((D17&lt;=11),1,3)</f>
        <v>3</v>
      </c>
      <c r="E18" s="223"/>
    </row>
    <row r="19" spans="2:5" ht="20.100000000000001" hidden="1" customHeight="1">
      <c r="B19" s="340" t="s">
        <v>1512</v>
      </c>
      <c r="C19" s="341"/>
      <c r="D19" s="346">
        <f>IF((D17&lt;=11),220,380)</f>
        <v>380</v>
      </c>
      <c r="E19" s="223"/>
    </row>
    <row r="20" spans="2:5" ht="20.100000000000001" customHeight="1">
      <c r="B20" s="340" t="s">
        <v>1422</v>
      </c>
      <c r="C20" s="341" t="s">
        <v>9</v>
      </c>
      <c r="D20" s="346">
        <v>345</v>
      </c>
      <c r="E20" s="223" t="s">
        <v>1425</v>
      </c>
    </row>
    <row r="21" spans="2:5" ht="20.100000000000001" hidden="1" customHeight="1">
      <c r="B21" s="340" t="s">
        <v>1511</v>
      </c>
      <c r="C21" s="341"/>
      <c r="D21" s="346">
        <f>IF((D20&lt;=11),1,3)</f>
        <v>3</v>
      </c>
      <c r="E21" s="223"/>
    </row>
    <row r="22" spans="2:5" ht="20.100000000000001" hidden="1" customHeight="1">
      <c r="B22" s="340" t="s">
        <v>1512</v>
      </c>
      <c r="C22" s="341"/>
      <c r="D22" s="346">
        <f>IF((D20&lt;=11),220,380)</f>
        <v>380</v>
      </c>
      <c r="E22" s="223"/>
    </row>
    <row r="23" spans="2:5" ht="20.100000000000001" customHeight="1">
      <c r="B23" s="340" t="s">
        <v>1326</v>
      </c>
      <c r="C23" s="341" t="s">
        <v>9</v>
      </c>
      <c r="D23" s="345">
        <v>1444.7</v>
      </c>
      <c r="E23" s="223" t="s">
        <v>1425</v>
      </c>
    </row>
    <row r="24" spans="2:5" ht="20.100000000000001" customHeight="1">
      <c r="B24" s="340" t="s">
        <v>1327</v>
      </c>
      <c r="C24" s="341" t="s">
        <v>9</v>
      </c>
      <c r="D24" s="345">
        <v>0</v>
      </c>
      <c r="E24" s="223" t="s">
        <v>1425</v>
      </c>
    </row>
    <row r="25" spans="2:5" ht="20.100000000000001" customHeight="1">
      <c r="B25" s="340" t="s">
        <v>1424</v>
      </c>
      <c r="C25" s="341" t="s">
        <v>9</v>
      </c>
      <c r="D25" s="346">
        <v>631</v>
      </c>
      <c r="E25" s="223" t="s">
        <v>1425</v>
      </c>
    </row>
    <row r="26" spans="2:5" ht="20.100000000000001" customHeight="1">
      <c r="B26" s="342" t="s">
        <v>1328</v>
      </c>
      <c r="C26" s="343" t="s">
        <v>9</v>
      </c>
      <c r="D26" s="347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7" activePane="bottomLeft" state="frozen"/>
      <selection activeCell="D10" sqref="D10"/>
      <selection pane="bottomLeft" activeCell="F3" sqref="F3"/>
    </sheetView>
  </sheetViews>
  <sheetFormatPr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505"/>
    </row>
    <row r="3" spans="1:21">
      <c r="B3" s="622" t="s">
        <v>1330</v>
      </c>
      <c r="C3" s="622"/>
      <c r="D3" s="622"/>
      <c r="E3" s="622"/>
      <c r="F3" s="228" t="str">
        <f>DATA!D14</f>
        <v>PD An. CV ANUGRAH TIMBERINDO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23" t="s">
        <v>1322</v>
      </c>
      <c r="C5" s="623" t="s">
        <v>1331</v>
      </c>
      <c r="D5" s="624" t="s">
        <v>1332</v>
      </c>
      <c r="E5" s="624" t="s">
        <v>1333</v>
      </c>
      <c r="F5" s="623" t="s">
        <v>1334</v>
      </c>
      <c r="G5" s="623"/>
      <c r="H5" s="623"/>
      <c r="I5" s="623"/>
      <c r="J5" s="623"/>
      <c r="K5" s="623" t="s">
        <v>1335</v>
      </c>
      <c r="L5" s="623"/>
      <c r="M5" s="230"/>
      <c r="N5" s="627" t="s">
        <v>1336</v>
      </c>
      <c r="O5" s="624" t="s">
        <v>1337</v>
      </c>
      <c r="P5" s="624" t="s">
        <v>1338</v>
      </c>
      <c r="Q5" s="624" t="s">
        <v>1339</v>
      </c>
      <c r="R5" s="231"/>
      <c r="S5" s="232"/>
      <c r="T5" s="625" t="s">
        <v>1340</v>
      </c>
      <c r="U5" s="233"/>
    </row>
    <row r="6" spans="1:21" ht="20.100000000000001" customHeight="1">
      <c r="B6" s="623"/>
      <c r="C6" s="623"/>
      <c r="D6" s="623"/>
      <c r="E6" s="623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28"/>
      <c r="O6" s="623"/>
      <c r="P6" s="623"/>
      <c r="Q6" s="623"/>
      <c r="R6" s="231"/>
      <c r="S6" s="232"/>
      <c r="T6" s="623"/>
      <c r="U6" s="235"/>
    </row>
    <row r="7" spans="1:21" ht="20.100000000000001" customHeight="1">
      <c r="A7" s="236">
        <v>0</v>
      </c>
      <c r="B7" s="237">
        <v>2023</v>
      </c>
      <c r="C7" s="388">
        <f>DATA!D8*DATA!D26*2</f>
        <v>11840</v>
      </c>
      <c r="D7" s="239">
        <f t="shared" ref="D7:D12" si="0">C7*4/24</f>
        <v>1973.3333333333333</v>
      </c>
      <c r="E7" s="239">
        <f>C7-D7</f>
        <v>9866.6666666666661</v>
      </c>
      <c r="F7" s="240">
        <f ca="1">DATA!D10/1000000</f>
        <v>273.30063656672309</v>
      </c>
      <c r="G7" s="241">
        <f ca="1">DATA!$D$11/1000000</f>
        <v>5.4660127313344615</v>
      </c>
      <c r="H7" s="241">
        <f>C7*DATA!$D$5/1000000</f>
        <v>12.836040543297155</v>
      </c>
      <c r="I7" s="241">
        <f>(C7*DATA!$D$5*DATA!$D$7)/1000000</f>
        <v>0.28881091222418592</v>
      </c>
      <c r="J7" s="239">
        <f ca="1">SUM(F7:I7)</f>
        <v>291.89150075357884</v>
      </c>
      <c r="K7" s="242">
        <f>DATA!D9/1000000</f>
        <v>93.388000000000005</v>
      </c>
      <c r="L7" s="239">
        <f>((D7*DATA!$D$23)/1000000)+((E7*DATA!$D$24)/1000000)</f>
        <v>2.8508746666666664</v>
      </c>
      <c r="M7" s="239">
        <f>K7+L7</f>
        <v>96.238874666666675</v>
      </c>
      <c r="N7" s="239">
        <f ca="1">M7-J7</f>
        <v>-195.65262608691216</v>
      </c>
      <c r="O7" s="237">
        <v>1</v>
      </c>
      <c r="P7" s="239">
        <f ca="1">O7*N7</f>
        <v>-195.65262608691216</v>
      </c>
      <c r="Q7" s="239">
        <f ca="1">P7</f>
        <v>-195.65262608691216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71040</v>
      </c>
      <c r="D8" s="239">
        <f t="shared" si="0"/>
        <v>11840</v>
      </c>
      <c r="E8" s="239">
        <f t="shared" ref="E8:E32" si="1">C8-D8</f>
        <v>59200</v>
      </c>
      <c r="F8" s="237"/>
      <c r="G8" s="241">
        <f ca="1">DATA!$D$11/1000000</f>
        <v>5.4660127313344615</v>
      </c>
      <c r="H8" s="241">
        <f>C8*DATA!$D$5/1000000</f>
        <v>77.016243259782939</v>
      </c>
      <c r="I8" s="241">
        <f>(C8*DATA!$D$5*DATA!$D$7)/1000000</f>
        <v>1.7328654733451161</v>
      </c>
      <c r="J8" s="239">
        <f ca="1">SUM(F8:I8)</f>
        <v>84.215121464462513</v>
      </c>
      <c r="K8" s="244"/>
      <c r="L8" s="239">
        <f>((D8*DATA!$D$23)/1000000)+((E8*DATA!$D$24)/1000000)</f>
        <v>17.105248</v>
      </c>
      <c r="M8" s="239">
        <f t="shared" ref="M8:M32" si="2">K8+L8</f>
        <v>17.105248</v>
      </c>
      <c r="N8" s="239">
        <f ca="1">M8-J8</f>
        <v>-67.10987346446251</v>
      </c>
      <c r="O8" s="238">
        <f>1/(1+'[164]Asumsi I'!$C$3)^(KKF!A8)</f>
        <v>0.89285714285714279</v>
      </c>
      <c r="P8" s="239">
        <f ca="1">O8*N8</f>
        <v>-59.919529878984378</v>
      </c>
      <c r="Q8" s="239">
        <f ca="1">Q7+P8</f>
        <v>-255.57215596589654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71040</v>
      </c>
      <c r="D9" s="239">
        <f t="shared" si="0"/>
        <v>11840</v>
      </c>
      <c r="E9" s="239">
        <f t="shared" si="1"/>
        <v>59200</v>
      </c>
      <c r="F9" s="237"/>
      <c r="G9" s="241">
        <f ca="1">DATA!$D$11/1000000</f>
        <v>5.4660127313344615</v>
      </c>
      <c r="H9" s="241">
        <f>C9*DATA!$D$5/1000000</f>
        <v>77.016243259782939</v>
      </c>
      <c r="I9" s="241">
        <f>(C9*DATA!$D$5*DATA!$D$7)/1000000</f>
        <v>1.7328654733451161</v>
      </c>
      <c r="J9" s="239">
        <f t="shared" ref="J9:J32" ca="1" si="5">SUM(F9:I9)</f>
        <v>84.215121464462513</v>
      </c>
      <c r="K9" s="239"/>
      <c r="L9" s="239">
        <f>((D9*DATA!$D$23)/1000000)+((E9*DATA!$D$24)/1000000)</f>
        <v>17.105248</v>
      </c>
      <c r="M9" s="239">
        <f t="shared" si="2"/>
        <v>17.105248</v>
      </c>
      <c r="N9" s="239">
        <f t="shared" ref="N9:N32" ca="1" si="6">M9-J9</f>
        <v>-67.10987346446251</v>
      </c>
      <c r="O9" s="245">
        <f>1/(1+'[164]Asumsi I'!$C$3)^(KKF!A9)</f>
        <v>0.79719387755102034</v>
      </c>
      <c r="P9" s="239">
        <f t="shared" ref="P9:P32" ca="1" si="7">O9*N9</f>
        <v>-53.499580249093192</v>
      </c>
      <c r="Q9" s="239">
        <f ca="1">Q8+P9</f>
        <v>-309.07173621498976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71040</v>
      </c>
      <c r="D10" s="239">
        <f t="shared" si="0"/>
        <v>11840</v>
      </c>
      <c r="E10" s="239">
        <f t="shared" si="1"/>
        <v>59200</v>
      </c>
      <c r="F10" s="237"/>
      <c r="G10" s="241">
        <f ca="1">DATA!$D$11/1000000</f>
        <v>5.4660127313344615</v>
      </c>
      <c r="H10" s="241">
        <f>C10*DATA!$D$5/1000000</f>
        <v>77.016243259782939</v>
      </c>
      <c r="I10" s="241">
        <f>(C10*DATA!$D$5*DATA!$D$7)/1000000</f>
        <v>1.7328654733451161</v>
      </c>
      <c r="J10" s="239">
        <f ca="1">SUM(F10:I10)</f>
        <v>84.215121464462513</v>
      </c>
      <c r="K10" s="237"/>
      <c r="L10" s="239">
        <f>((D10*DATA!$D$23)/1000000)+((E10*DATA!$D$24)/1000000)</f>
        <v>17.105248</v>
      </c>
      <c r="M10" s="239">
        <f t="shared" si="2"/>
        <v>17.105248</v>
      </c>
      <c r="N10" s="239">
        <f t="shared" ca="1" si="6"/>
        <v>-67.10987346446251</v>
      </c>
      <c r="O10" s="238">
        <f>1/(1+'[164]Asumsi I'!$C$3)^(KKF!A10)</f>
        <v>0.71178024781341087</v>
      </c>
      <c r="P10" s="239">
        <f t="shared" ca="1" si="7"/>
        <v>-47.76748236526177</v>
      </c>
      <c r="Q10" s="239">
        <f t="shared" ref="Q10:Q30" ca="1" si="9">Q9+P10</f>
        <v>-356.83921858025155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71040</v>
      </c>
      <c r="D11" s="239">
        <f t="shared" si="0"/>
        <v>11840</v>
      </c>
      <c r="E11" s="239">
        <f t="shared" si="1"/>
        <v>59200</v>
      </c>
      <c r="F11" s="237"/>
      <c r="G11" s="241">
        <f ca="1">DATA!$D$11/1000000</f>
        <v>5.4660127313344615</v>
      </c>
      <c r="H11" s="241">
        <f>C11*DATA!$D$5/1000000</f>
        <v>77.016243259782939</v>
      </c>
      <c r="I11" s="241">
        <f>(C11*DATA!$D$5*DATA!$D$7)/1000000</f>
        <v>1.7328654733451161</v>
      </c>
      <c r="J11" s="239">
        <f ca="1">SUM(F11:I11)</f>
        <v>84.215121464462513</v>
      </c>
      <c r="K11" s="237"/>
      <c r="L11" s="239">
        <f>((D11*DATA!$D$23)/1000000)+((E11*DATA!$D$24)/1000000)</f>
        <v>17.105248</v>
      </c>
      <c r="M11" s="239">
        <f t="shared" si="2"/>
        <v>17.105248</v>
      </c>
      <c r="N11" s="239">
        <f t="shared" ca="1" si="6"/>
        <v>-67.10987346446251</v>
      </c>
      <c r="O11" s="238">
        <f>1/(1+'[164]Asumsi I'!$C$3)^(KKF!A11)</f>
        <v>0.63551807840483121</v>
      </c>
      <c r="P11" s="239">
        <f t="shared" ca="1" si="7"/>
        <v>-42.64953782612659</v>
      </c>
      <c r="Q11" s="239">
        <f t="shared" ca="1" si="9"/>
        <v>-399.48875640637812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71040</v>
      </c>
      <c r="D12" s="239">
        <f t="shared" si="0"/>
        <v>11840</v>
      </c>
      <c r="E12" s="239">
        <f>C12-D12</f>
        <v>59200</v>
      </c>
      <c r="F12" s="237"/>
      <c r="G12" s="241">
        <f ca="1">DATA!$D$11/1000000</f>
        <v>5.4660127313344615</v>
      </c>
      <c r="H12" s="241">
        <f>C12*DATA!$D$5/1000000</f>
        <v>77.016243259782939</v>
      </c>
      <c r="I12" s="241">
        <f>(C12*DATA!$D$5*DATA!$D$7)/1000000</f>
        <v>1.7328654733451161</v>
      </c>
      <c r="J12" s="239">
        <f t="shared" ca="1" si="5"/>
        <v>84.215121464462513</v>
      </c>
      <c r="K12" s="237"/>
      <c r="L12" s="239">
        <f>((D12*DATA!$D$23)/1000000)+((E12*DATA!$D$24)/1000000)</f>
        <v>17.105248</v>
      </c>
      <c r="M12" s="239">
        <f t="shared" si="2"/>
        <v>17.105248</v>
      </c>
      <c r="N12" s="239">
        <f t="shared" ca="1" si="6"/>
        <v>-67.10987346446251</v>
      </c>
      <c r="O12" s="238">
        <f>1/(1+'[164]Asumsi I'!$C$3)^(KKF!A12)</f>
        <v>0.56742685571859919</v>
      </c>
      <c r="P12" s="239">
        <f t="shared" ca="1" si="7"/>
        <v>-38.07994448761302</v>
      </c>
      <c r="Q12" s="239">
        <f t="shared" ca="1" si="9"/>
        <v>-437.56870089399115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71040</v>
      </c>
      <c r="D13" s="239">
        <f t="shared" ref="D13:D32" si="11">C13*4/24</f>
        <v>11840</v>
      </c>
      <c r="E13" s="239">
        <f t="shared" si="1"/>
        <v>59200</v>
      </c>
      <c r="F13" s="237"/>
      <c r="G13" s="241">
        <f ca="1">DATA!$D$11/1000000</f>
        <v>5.4660127313344615</v>
      </c>
      <c r="H13" s="241">
        <f>C13*DATA!$D$5/1000000</f>
        <v>77.016243259782939</v>
      </c>
      <c r="I13" s="241">
        <f>(C13*DATA!$D$5*DATA!$D$7)/1000000</f>
        <v>1.7328654733451161</v>
      </c>
      <c r="J13" s="239">
        <f t="shared" ca="1" si="5"/>
        <v>84.215121464462513</v>
      </c>
      <c r="K13" s="237"/>
      <c r="L13" s="239">
        <f>((D13*DATA!$D$23)/1000000)+((E13*DATA!$D$24)/1000000)</f>
        <v>17.105248</v>
      </c>
      <c r="M13" s="239">
        <f t="shared" si="2"/>
        <v>17.105248</v>
      </c>
      <c r="N13" s="239">
        <f t="shared" ca="1" si="6"/>
        <v>-67.10987346446251</v>
      </c>
      <c r="O13" s="238">
        <f>1/(1+'[164]Asumsi I'!$C$3)^(KKF!A13)</f>
        <v>0.50663112117732068</v>
      </c>
      <c r="P13" s="239">
        <f t="shared" ca="1" si="7"/>
        <v>-33.99995043536876</v>
      </c>
      <c r="Q13" s="239">
        <f t="shared" ca="1" si="9"/>
        <v>-471.56865132935991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71040</v>
      </c>
      <c r="D14" s="239">
        <f t="shared" si="11"/>
        <v>11840</v>
      </c>
      <c r="E14" s="239">
        <f t="shared" si="1"/>
        <v>59200</v>
      </c>
      <c r="F14" s="237"/>
      <c r="G14" s="241">
        <f ca="1">DATA!$D$11/1000000</f>
        <v>5.4660127313344615</v>
      </c>
      <c r="H14" s="241">
        <f>C14*DATA!$D$5/1000000</f>
        <v>77.016243259782939</v>
      </c>
      <c r="I14" s="241">
        <f>(C14*DATA!$D$5*DATA!$D$7)/1000000</f>
        <v>1.7328654733451161</v>
      </c>
      <c r="J14" s="239">
        <f t="shared" ca="1" si="5"/>
        <v>84.215121464462513</v>
      </c>
      <c r="K14" s="237"/>
      <c r="L14" s="239">
        <f>((D14*DATA!$D$23)/1000000)+((E14*DATA!$D$24)/1000000)</f>
        <v>17.105248</v>
      </c>
      <c r="M14" s="239">
        <f t="shared" si="2"/>
        <v>17.105248</v>
      </c>
      <c r="N14" s="239">
        <f t="shared" ca="1" si="6"/>
        <v>-67.10987346446251</v>
      </c>
      <c r="O14" s="238">
        <f>1/(1+'[164]Asumsi I'!$C$3)^(KKF!A14)</f>
        <v>0.45234921533689343</v>
      </c>
      <c r="P14" s="239">
        <f t="shared" ca="1" si="7"/>
        <v>-30.35709860300782</v>
      </c>
      <c r="Q14" s="239">
        <f t="shared" ca="1" si="9"/>
        <v>-501.92574993236775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71040</v>
      </c>
      <c r="D15" s="239">
        <f t="shared" si="11"/>
        <v>11840</v>
      </c>
      <c r="E15" s="239">
        <f t="shared" si="1"/>
        <v>59200</v>
      </c>
      <c r="F15" s="237"/>
      <c r="G15" s="241">
        <f ca="1">DATA!$D$11/1000000</f>
        <v>5.4660127313344615</v>
      </c>
      <c r="H15" s="241">
        <f>C15*DATA!$D$5/1000000</f>
        <v>77.016243259782939</v>
      </c>
      <c r="I15" s="241">
        <f>(C15*DATA!$D$5*DATA!$D$7)/1000000</f>
        <v>1.7328654733451161</v>
      </c>
      <c r="J15" s="239">
        <f t="shared" ca="1" si="5"/>
        <v>84.215121464462513</v>
      </c>
      <c r="K15" s="237"/>
      <c r="L15" s="239">
        <f>((D15*DATA!$D$23)/1000000)+((E15*DATA!$D$24)/1000000)</f>
        <v>17.105248</v>
      </c>
      <c r="M15" s="239">
        <f t="shared" si="2"/>
        <v>17.105248</v>
      </c>
      <c r="N15" s="239">
        <f t="shared" ca="1" si="6"/>
        <v>-67.10987346446251</v>
      </c>
      <c r="O15" s="238">
        <f>1/(1+'[164]Asumsi I'!$C$3)^(KKF!A15)</f>
        <v>0.4038832279793691</v>
      </c>
      <c r="P15" s="239">
        <f t="shared" ca="1" si="7"/>
        <v>-27.104552324114124</v>
      </c>
      <c r="Q15" s="239">
        <f t="shared" ca="1" si="9"/>
        <v>-529.03030225648183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71040</v>
      </c>
      <c r="D16" s="239">
        <f t="shared" si="11"/>
        <v>11840</v>
      </c>
      <c r="E16" s="239">
        <f t="shared" si="1"/>
        <v>59200</v>
      </c>
      <c r="F16" s="237"/>
      <c r="G16" s="241">
        <f ca="1">DATA!$D$11/1000000</f>
        <v>5.4660127313344615</v>
      </c>
      <c r="H16" s="241">
        <f>C16*DATA!$D$5/1000000</f>
        <v>77.016243259782939</v>
      </c>
      <c r="I16" s="241">
        <f>(C16*DATA!$D$5*DATA!$D$7)/1000000</f>
        <v>1.7328654733451161</v>
      </c>
      <c r="J16" s="239">
        <f t="shared" ca="1" si="5"/>
        <v>84.215121464462513</v>
      </c>
      <c r="K16" s="237"/>
      <c r="L16" s="239">
        <f>((D16*DATA!$D$23)/1000000)+((E16*DATA!$D$24)/1000000)</f>
        <v>17.105248</v>
      </c>
      <c r="M16" s="239">
        <f t="shared" si="2"/>
        <v>17.105248</v>
      </c>
      <c r="N16" s="239">
        <f t="shared" ca="1" si="6"/>
        <v>-67.10987346446251</v>
      </c>
      <c r="O16" s="238">
        <f>1/(1+'[164]Asumsi I'!$C$3)^(KKF!A16)</f>
        <v>0.36061002498157957</v>
      </c>
      <c r="P16" s="239">
        <f t="shared" ca="1" si="7"/>
        <v>-24.200493146530469</v>
      </c>
      <c r="Q16" s="239">
        <f t="shared" ca="1" si="9"/>
        <v>-553.23079540301228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71040</v>
      </c>
      <c r="D17" s="239">
        <f t="shared" si="11"/>
        <v>11840</v>
      </c>
      <c r="E17" s="239">
        <f t="shared" si="1"/>
        <v>59200</v>
      </c>
      <c r="F17" s="237"/>
      <c r="G17" s="241">
        <f ca="1">DATA!$D$11/1000000</f>
        <v>5.4660127313344615</v>
      </c>
      <c r="H17" s="241">
        <f>C17*DATA!$D$5/1000000</f>
        <v>77.016243259782939</v>
      </c>
      <c r="I17" s="241">
        <f>(C17*DATA!$D$5*DATA!$D$7)/1000000</f>
        <v>1.7328654733451161</v>
      </c>
      <c r="J17" s="239">
        <f t="shared" ca="1" si="5"/>
        <v>84.215121464462513</v>
      </c>
      <c r="K17" s="237"/>
      <c r="L17" s="239">
        <f>((D17*DATA!$D$23)/1000000)+((E17*DATA!$D$24)/1000000)</f>
        <v>17.105248</v>
      </c>
      <c r="M17" s="239">
        <f t="shared" si="2"/>
        <v>17.105248</v>
      </c>
      <c r="N17" s="239">
        <f t="shared" ca="1" si="6"/>
        <v>-67.10987346446251</v>
      </c>
      <c r="O17" s="238">
        <f>1/(1+'[164]Asumsi I'!$C$3)^(KKF!A17)</f>
        <v>0.32197323659069599</v>
      </c>
      <c r="P17" s="239">
        <f t="shared" ca="1" si="7"/>
        <v>-21.607583166545059</v>
      </c>
      <c r="Q17" s="239">
        <f t="shared" ca="1" si="9"/>
        <v>-574.83837856955734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71040</v>
      </c>
      <c r="D18" s="239">
        <f t="shared" si="11"/>
        <v>11840</v>
      </c>
      <c r="E18" s="239">
        <f t="shared" si="1"/>
        <v>59200</v>
      </c>
      <c r="F18" s="237"/>
      <c r="G18" s="241">
        <f ca="1">DATA!$D$11/1000000</f>
        <v>5.4660127313344615</v>
      </c>
      <c r="H18" s="241">
        <f>C18*DATA!$D$5/1000000</f>
        <v>77.016243259782939</v>
      </c>
      <c r="I18" s="241">
        <f>(C18*DATA!$D$5*DATA!$D$7)/1000000</f>
        <v>1.7328654733451161</v>
      </c>
      <c r="J18" s="239">
        <f t="shared" ca="1" si="5"/>
        <v>84.215121464462513</v>
      </c>
      <c r="K18" s="237"/>
      <c r="L18" s="239">
        <f>((D18*DATA!$D$23)/1000000)+((E18*DATA!$D$24)/1000000)</f>
        <v>17.105248</v>
      </c>
      <c r="M18" s="239">
        <f t="shared" si="2"/>
        <v>17.105248</v>
      </c>
      <c r="N18" s="239">
        <f t="shared" ca="1" si="6"/>
        <v>-67.10987346446251</v>
      </c>
      <c r="O18" s="238">
        <f>1/(1+'[164]Asumsi I'!$C$3)^(KKF!A18)</f>
        <v>0.28747610409883567</v>
      </c>
      <c r="P18" s="239">
        <f t="shared" ca="1" si="7"/>
        <v>-19.292484970129514</v>
      </c>
      <c r="Q18" s="239">
        <f t="shared" ca="1" si="9"/>
        <v>-594.13086353968686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71040</v>
      </c>
      <c r="D19" s="239">
        <f t="shared" si="11"/>
        <v>11840</v>
      </c>
      <c r="E19" s="239">
        <f t="shared" si="1"/>
        <v>59200</v>
      </c>
      <c r="F19" s="237"/>
      <c r="G19" s="241">
        <f ca="1">DATA!$D$11/1000000</f>
        <v>5.4660127313344615</v>
      </c>
      <c r="H19" s="241">
        <f>C19*DATA!$D$5/1000000</f>
        <v>77.016243259782939</v>
      </c>
      <c r="I19" s="241">
        <f>(C19*DATA!$D$5*DATA!$D$7)/1000000</f>
        <v>1.7328654733451161</v>
      </c>
      <c r="J19" s="239">
        <f t="shared" ca="1" si="5"/>
        <v>84.215121464462513</v>
      </c>
      <c r="K19" s="237"/>
      <c r="L19" s="239">
        <f>((D19*DATA!$D$23)/1000000)+((E19*DATA!$D$24)/1000000)</f>
        <v>17.105248</v>
      </c>
      <c r="M19" s="239">
        <f t="shared" si="2"/>
        <v>17.105248</v>
      </c>
      <c r="N19" s="239">
        <f t="shared" ca="1" si="6"/>
        <v>-67.10987346446251</v>
      </c>
      <c r="O19" s="238">
        <f>1/(1+'[164]Asumsi I'!$C$3)^(KKF!A19)</f>
        <v>0.25667509294538904</v>
      </c>
      <c r="P19" s="239">
        <f t="shared" ca="1" si="7"/>
        <v>-17.225433009044213</v>
      </c>
      <c r="Q19" s="239">
        <f t="shared" ca="1" si="9"/>
        <v>-611.35629654873105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71040</v>
      </c>
      <c r="D20" s="239">
        <f t="shared" si="11"/>
        <v>11840</v>
      </c>
      <c r="E20" s="239">
        <f t="shared" si="1"/>
        <v>59200</v>
      </c>
      <c r="F20" s="237"/>
      <c r="G20" s="241">
        <f ca="1">DATA!$D$11/1000000</f>
        <v>5.4660127313344615</v>
      </c>
      <c r="H20" s="241">
        <f>C20*DATA!$D$5/1000000</f>
        <v>77.016243259782939</v>
      </c>
      <c r="I20" s="241">
        <f>(C20*DATA!$D$5*DATA!$D$7)/1000000</f>
        <v>1.7328654733451161</v>
      </c>
      <c r="J20" s="239">
        <f t="shared" ca="1" si="5"/>
        <v>84.215121464462513</v>
      </c>
      <c r="K20" s="237"/>
      <c r="L20" s="239">
        <f>((D20*DATA!$D$23)/1000000)+((E20*DATA!$D$24)/1000000)</f>
        <v>17.105248</v>
      </c>
      <c r="M20" s="239">
        <f t="shared" si="2"/>
        <v>17.105248</v>
      </c>
      <c r="N20" s="239">
        <f t="shared" ca="1" si="6"/>
        <v>-67.10987346446251</v>
      </c>
      <c r="O20" s="238">
        <f>1/(1+'[164]Asumsi I'!$C$3)^(KKF!A20)</f>
        <v>0.22917419012981158</v>
      </c>
      <c r="P20" s="239">
        <f t="shared" ca="1" si="7"/>
        <v>-15.379850900932327</v>
      </c>
      <c r="Q20" s="239">
        <f t="shared" ca="1" si="9"/>
        <v>-626.73614744966335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71040</v>
      </c>
      <c r="D21" s="239">
        <f t="shared" si="11"/>
        <v>11840</v>
      </c>
      <c r="E21" s="239">
        <f t="shared" si="1"/>
        <v>59200</v>
      </c>
      <c r="F21" s="237"/>
      <c r="G21" s="241">
        <f ca="1">DATA!$D$11/1000000</f>
        <v>5.4660127313344615</v>
      </c>
      <c r="H21" s="241">
        <f>C21*DATA!$D$5/1000000</f>
        <v>77.016243259782939</v>
      </c>
      <c r="I21" s="241">
        <f>(C21*DATA!$D$5*DATA!$D$7)/1000000</f>
        <v>1.7328654733451161</v>
      </c>
      <c r="J21" s="239">
        <f t="shared" ca="1" si="5"/>
        <v>84.215121464462513</v>
      </c>
      <c r="K21" s="237"/>
      <c r="L21" s="239">
        <f>((D21*DATA!$D$23)/1000000)+((E21*DATA!$D$24)/1000000)</f>
        <v>17.105248</v>
      </c>
      <c r="M21" s="239">
        <f t="shared" si="2"/>
        <v>17.105248</v>
      </c>
      <c r="N21" s="239">
        <f t="shared" ca="1" si="6"/>
        <v>-67.10987346446251</v>
      </c>
      <c r="O21" s="238">
        <f>1/(1+'[164]Asumsi I'!$C$3)^(KKF!A21)</f>
        <v>0.20461981261590317</v>
      </c>
      <c r="P21" s="239">
        <f t="shared" ca="1" si="7"/>
        <v>-13.732009732975291</v>
      </c>
      <c r="Q21" s="239">
        <f t="shared" ca="1" si="9"/>
        <v>-640.46815718263861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71040</v>
      </c>
      <c r="D22" s="239">
        <f t="shared" si="11"/>
        <v>11840</v>
      </c>
      <c r="E22" s="239">
        <f t="shared" si="1"/>
        <v>59200</v>
      </c>
      <c r="F22" s="237"/>
      <c r="G22" s="241">
        <f ca="1">DATA!$D$11/1000000</f>
        <v>5.4660127313344615</v>
      </c>
      <c r="H22" s="241">
        <f>C22*DATA!$D$5/1000000</f>
        <v>77.016243259782939</v>
      </c>
      <c r="I22" s="241">
        <f>(C22*DATA!$D$5*DATA!$D$7)/1000000</f>
        <v>1.7328654733451161</v>
      </c>
      <c r="J22" s="239">
        <f t="shared" ca="1" si="5"/>
        <v>84.215121464462513</v>
      </c>
      <c r="K22" s="237"/>
      <c r="L22" s="239">
        <f>((D22*DATA!$D$23)/1000000)+((E22*DATA!$D$24)/1000000)</f>
        <v>17.105248</v>
      </c>
      <c r="M22" s="239">
        <f t="shared" si="2"/>
        <v>17.105248</v>
      </c>
      <c r="N22" s="239">
        <f t="shared" ca="1" si="6"/>
        <v>-67.10987346446251</v>
      </c>
      <c r="O22" s="238">
        <f>1/(1+'[164]Asumsi I'!$C$3)^(KKF!A22)</f>
        <v>0.18269626126419927</v>
      </c>
      <c r="P22" s="239">
        <f t="shared" ca="1" si="7"/>
        <v>-12.260722975870797</v>
      </c>
      <c r="Q22" s="239">
        <f t="shared" ca="1" si="9"/>
        <v>-652.72888015850936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71040</v>
      </c>
      <c r="D23" s="239">
        <f t="shared" si="11"/>
        <v>11840</v>
      </c>
      <c r="E23" s="239">
        <f t="shared" si="1"/>
        <v>59200</v>
      </c>
      <c r="F23" s="237"/>
      <c r="G23" s="241">
        <f ca="1">DATA!$D$11/1000000</f>
        <v>5.4660127313344615</v>
      </c>
      <c r="H23" s="241">
        <f>C23*DATA!$D$5/1000000</f>
        <v>77.016243259782939</v>
      </c>
      <c r="I23" s="241">
        <f>(C23*DATA!$D$5*DATA!$D$7)/1000000</f>
        <v>1.7328654733451161</v>
      </c>
      <c r="J23" s="239">
        <f t="shared" ca="1" si="5"/>
        <v>84.215121464462513</v>
      </c>
      <c r="K23" s="237"/>
      <c r="L23" s="239">
        <f>((D23*DATA!$D$23)/1000000)+((E23*DATA!$D$24)/1000000)</f>
        <v>17.105248</v>
      </c>
      <c r="M23" s="239">
        <f t="shared" si="2"/>
        <v>17.105248</v>
      </c>
      <c r="N23" s="239">
        <f t="shared" ca="1" si="6"/>
        <v>-67.10987346446251</v>
      </c>
      <c r="O23" s="238">
        <f>1/(1+'[164]Asumsi I'!$C$3)^(KKF!A23)</f>
        <v>0.16312166184303503</v>
      </c>
      <c r="P23" s="239">
        <f t="shared" ca="1" si="7"/>
        <v>-10.947074085598924</v>
      </c>
      <c r="Q23" s="239">
        <f t="shared" ca="1" si="9"/>
        <v>-663.67595424410831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71040</v>
      </c>
      <c r="D24" s="239">
        <f t="shared" si="11"/>
        <v>11840</v>
      </c>
      <c r="E24" s="239">
        <f t="shared" si="1"/>
        <v>59200</v>
      </c>
      <c r="F24" s="237"/>
      <c r="G24" s="241">
        <f ca="1">DATA!$D$11/1000000</f>
        <v>5.4660127313344615</v>
      </c>
      <c r="H24" s="241">
        <f>C24*DATA!$D$5/1000000</f>
        <v>77.016243259782939</v>
      </c>
      <c r="I24" s="241">
        <f>(C24*DATA!$D$5*DATA!$D$7)/1000000</f>
        <v>1.7328654733451161</v>
      </c>
      <c r="J24" s="239">
        <f t="shared" ca="1" si="5"/>
        <v>84.215121464462513</v>
      </c>
      <c r="K24" s="237"/>
      <c r="L24" s="239">
        <f>((D24*DATA!$D$23)/1000000)+((E24*DATA!$D$24)/1000000)</f>
        <v>17.105248</v>
      </c>
      <c r="M24" s="239">
        <f t="shared" si="2"/>
        <v>17.105248</v>
      </c>
      <c r="N24" s="239">
        <f t="shared" ca="1" si="6"/>
        <v>-67.10987346446251</v>
      </c>
      <c r="O24" s="238">
        <f>1/(1+'[164]Asumsi I'!$C$3)^(KKF!A24)</f>
        <v>0.14564434093128129</v>
      </c>
      <c r="P24" s="239">
        <f t="shared" ca="1" si="7"/>
        <v>-9.7741732907133247</v>
      </c>
      <c r="Q24" s="239">
        <f t="shared" ca="1" si="9"/>
        <v>-673.4501275348216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71040</v>
      </c>
      <c r="D25" s="239">
        <f t="shared" si="11"/>
        <v>11840</v>
      </c>
      <c r="E25" s="239">
        <f t="shared" si="1"/>
        <v>59200</v>
      </c>
      <c r="F25" s="237"/>
      <c r="G25" s="241">
        <f ca="1">DATA!$D$11/1000000</f>
        <v>5.4660127313344615</v>
      </c>
      <c r="H25" s="241">
        <f>C25*DATA!$D$5/1000000</f>
        <v>77.016243259782939</v>
      </c>
      <c r="I25" s="241">
        <f>(C25*DATA!$D$5*DATA!$D$7)/1000000</f>
        <v>1.7328654733451161</v>
      </c>
      <c r="J25" s="239">
        <f t="shared" ca="1" si="5"/>
        <v>84.215121464462513</v>
      </c>
      <c r="K25" s="237"/>
      <c r="L25" s="239">
        <f>((D25*DATA!$D$23)/1000000)+((E25*DATA!$D$24)/1000000)</f>
        <v>17.105248</v>
      </c>
      <c r="M25" s="239">
        <f t="shared" si="2"/>
        <v>17.105248</v>
      </c>
      <c r="N25" s="239">
        <f t="shared" ca="1" si="6"/>
        <v>-67.10987346446251</v>
      </c>
      <c r="O25" s="238">
        <f>1/(1+'[164]Asumsi I'!$C$3)^(KKF!A25)</f>
        <v>0.13003959011721541</v>
      </c>
      <c r="P25" s="239">
        <f t="shared" ca="1" si="7"/>
        <v>-8.7269404381368965</v>
      </c>
      <c r="Q25" s="239">
        <f t="shared" ca="1" si="9"/>
        <v>-682.17706797295853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2"/>
        <v>19</v>
      </c>
      <c r="B26" s="237">
        <f t="shared" si="12"/>
        <v>2042</v>
      </c>
      <c r="C26" s="238">
        <f t="shared" si="8"/>
        <v>71040</v>
      </c>
      <c r="D26" s="239">
        <f t="shared" si="11"/>
        <v>11840</v>
      </c>
      <c r="E26" s="239">
        <f t="shared" si="1"/>
        <v>59200</v>
      </c>
      <c r="F26" s="237"/>
      <c r="G26" s="241">
        <f ca="1">DATA!$D$11/1000000</f>
        <v>5.4660127313344615</v>
      </c>
      <c r="H26" s="241">
        <f>C26*DATA!$D$5/1000000</f>
        <v>77.016243259782939</v>
      </c>
      <c r="I26" s="241">
        <f>(C26*DATA!$D$5*DATA!$D$7)/1000000</f>
        <v>1.7328654733451161</v>
      </c>
      <c r="J26" s="239">
        <f t="shared" ca="1" si="5"/>
        <v>84.215121464462513</v>
      </c>
      <c r="K26" s="237"/>
      <c r="L26" s="239">
        <f>((D26*DATA!$D$23)/1000000)+((E26*DATA!$D$24)/1000000)</f>
        <v>17.105248</v>
      </c>
      <c r="M26" s="239">
        <f t="shared" si="2"/>
        <v>17.105248</v>
      </c>
      <c r="N26" s="239">
        <f t="shared" ca="1" si="6"/>
        <v>-67.10987346446251</v>
      </c>
      <c r="O26" s="238">
        <f>1/(1+'[164]Asumsi I'!$C$3)^(KKF!A26)</f>
        <v>0.1161067768903709</v>
      </c>
      <c r="P26" s="239">
        <f t="shared" ca="1" si="7"/>
        <v>-7.7919111054793708</v>
      </c>
      <c r="Q26" s="239">
        <f t="shared" ca="1" si="9"/>
        <v>-689.96897907843788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2"/>
        <v>20</v>
      </c>
      <c r="B27" s="237">
        <f t="shared" si="12"/>
        <v>2043</v>
      </c>
      <c r="C27" s="238">
        <f t="shared" si="8"/>
        <v>71040</v>
      </c>
      <c r="D27" s="239">
        <f t="shared" si="11"/>
        <v>11840</v>
      </c>
      <c r="E27" s="239">
        <f t="shared" si="1"/>
        <v>59200</v>
      </c>
      <c r="F27" s="237"/>
      <c r="G27" s="241">
        <f ca="1">DATA!$D$11/1000000</f>
        <v>5.4660127313344615</v>
      </c>
      <c r="H27" s="241">
        <f>C27*DATA!$D$5/1000000</f>
        <v>77.016243259782939</v>
      </c>
      <c r="I27" s="241">
        <f>(C27*DATA!$D$5*DATA!$D$7)/1000000</f>
        <v>1.7328654733451161</v>
      </c>
      <c r="J27" s="239">
        <f t="shared" ca="1" si="5"/>
        <v>84.215121464462513</v>
      </c>
      <c r="K27" s="237"/>
      <c r="L27" s="239">
        <f>((D27*DATA!$D$23)/1000000)+((E27*DATA!$D$24)/1000000)</f>
        <v>17.105248</v>
      </c>
      <c r="M27" s="239">
        <f t="shared" si="2"/>
        <v>17.105248</v>
      </c>
      <c r="N27" s="239">
        <f t="shared" ca="1" si="6"/>
        <v>-67.10987346446251</v>
      </c>
      <c r="O27" s="238">
        <f>1/(1+'[164]Asumsi I'!$C$3)^(KKF!A27)</f>
        <v>0.1036667650806883</v>
      </c>
      <c r="P27" s="239">
        <f t="shared" ca="1" si="7"/>
        <v>-6.9570634870351524</v>
      </c>
      <c r="Q27" s="239">
        <f t="shared" ca="1" si="9"/>
        <v>-696.92604256547304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2"/>
        <v>21</v>
      </c>
      <c r="B28" s="237">
        <f t="shared" si="12"/>
        <v>2044</v>
      </c>
      <c r="C28" s="238">
        <f t="shared" si="8"/>
        <v>71040</v>
      </c>
      <c r="D28" s="239">
        <f t="shared" si="11"/>
        <v>11840</v>
      </c>
      <c r="E28" s="239">
        <f t="shared" si="1"/>
        <v>59200</v>
      </c>
      <c r="F28" s="237"/>
      <c r="G28" s="241">
        <f ca="1">DATA!$D$11/1000000</f>
        <v>5.4660127313344615</v>
      </c>
      <c r="H28" s="241">
        <f>C28*DATA!$D$5/1000000</f>
        <v>77.016243259782939</v>
      </c>
      <c r="I28" s="241">
        <f>(C28*DATA!$D$5*DATA!$D$7)/1000000</f>
        <v>1.7328654733451161</v>
      </c>
      <c r="J28" s="239">
        <f t="shared" ca="1" si="5"/>
        <v>84.215121464462513</v>
      </c>
      <c r="K28" s="237"/>
      <c r="L28" s="239">
        <f>((D28*DATA!$D$23)/1000000)+((E28*DATA!$D$24)/1000000)</f>
        <v>17.105248</v>
      </c>
      <c r="M28" s="239">
        <f t="shared" si="2"/>
        <v>17.105248</v>
      </c>
      <c r="N28" s="239">
        <f t="shared" ca="1" si="6"/>
        <v>-67.10987346446251</v>
      </c>
      <c r="O28" s="238">
        <f>1/(1+'[164]Asumsi I'!$C$3)^(KKF!A28)</f>
        <v>9.2559611679185971E-2</v>
      </c>
      <c r="P28" s="239">
        <f t="shared" ca="1" si="7"/>
        <v>-6.2116638277099572</v>
      </c>
      <c r="Q28" s="239">
        <f t="shared" ca="1" si="9"/>
        <v>-703.13770639318295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2"/>
        <v>22</v>
      </c>
      <c r="B29" s="237">
        <f t="shared" si="12"/>
        <v>2045</v>
      </c>
      <c r="C29" s="238">
        <f t="shared" si="8"/>
        <v>71040</v>
      </c>
      <c r="D29" s="239">
        <f t="shared" si="11"/>
        <v>11840</v>
      </c>
      <c r="E29" s="239">
        <f t="shared" si="1"/>
        <v>59200</v>
      </c>
      <c r="F29" s="237"/>
      <c r="G29" s="241">
        <f ca="1">DATA!$D$11/1000000</f>
        <v>5.4660127313344615</v>
      </c>
      <c r="H29" s="241">
        <f>C29*DATA!$D$5/1000000</f>
        <v>77.016243259782939</v>
      </c>
      <c r="I29" s="241">
        <f>(C29*DATA!$D$5*DATA!$D$7)/1000000</f>
        <v>1.7328654733451161</v>
      </c>
      <c r="J29" s="239">
        <f t="shared" ca="1" si="5"/>
        <v>84.215121464462513</v>
      </c>
      <c r="K29" s="237"/>
      <c r="L29" s="239">
        <f>((D29*DATA!$D$23)/1000000)+((E29*DATA!$D$24)/1000000)</f>
        <v>17.105248</v>
      </c>
      <c r="M29" s="239">
        <f t="shared" si="2"/>
        <v>17.105248</v>
      </c>
      <c r="N29" s="239">
        <f t="shared" ca="1" si="6"/>
        <v>-67.10987346446251</v>
      </c>
      <c r="O29" s="238">
        <f>1/(1+'[164]Asumsi I'!$C$3)^(KKF!A29)</f>
        <v>8.2642510427844609E-2</v>
      </c>
      <c r="P29" s="239">
        <f t="shared" ca="1" si="7"/>
        <v>-5.5461284175981751</v>
      </c>
      <c r="Q29" s="239">
        <f t="shared" ca="1" si="9"/>
        <v>-708.68383481078115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2"/>
        <v>23</v>
      </c>
      <c r="B30" s="237">
        <f t="shared" si="12"/>
        <v>2046</v>
      </c>
      <c r="C30" s="238">
        <f t="shared" si="8"/>
        <v>71040</v>
      </c>
      <c r="D30" s="239">
        <f t="shared" si="11"/>
        <v>11840</v>
      </c>
      <c r="E30" s="239">
        <f t="shared" si="1"/>
        <v>59200</v>
      </c>
      <c r="F30" s="237"/>
      <c r="G30" s="241">
        <f ca="1">DATA!$D$11/1000000</f>
        <v>5.4660127313344615</v>
      </c>
      <c r="H30" s="241">
        <f>C30*DATA!$D$5/1000000</f>
        <v>77.016243259782939</v>
      </c>
      <c r="I30" s="241">
        <f>(C30*DATA!$D$5*DATA!$D$7)/1000000</f>
        <v>1.7328654733451161</v>
      </c>
      <c r="J30" s="239">
        <f t="shared" ca="1" si="5"/>
        <v>84.215121464462513</v>
      </c>
      <c r="K30" s="237"/>
      <c r="L30" s="239">
        <f>((D30*DATA!$D$23)/1000000)+((E30*DATA!$D$24)/1000000)</f>
        <v>17.105248</v>
      </c>
      <c r="M30" s="239">
        <f t="shared" si="2"/>
        <v>17.105248</v>
      </c>
      <c r="N30" s="239">
        <f t="shared" ca="1" si="6"/>
        <v>-67.10987346446251</v>
      </c>
      <c r="O30" s="238">
        <f>1/(1+'[164]Asumsi I'!$C$3)^(KKF!A30)</f>
        <v>7.3787955739146982E-2</v>
      </c>
      <c r="P30" s="239">
        <f t="shared" ca="1" si="7"/>
        <v>-4.9519003728555138</v>
      </c>
      <c r="Q30" s="239">
        <f t="shared" ca="1" si="9"/>
        <v>-713.63573518363671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2"/>
        <v>24</v>
      </c>
      <c r="B31" s="237">
        <f t="shared" si="12"/>
        <v>2047</v>
      </c>
      <c r="C31" s="238">
        <f t="shared" si="8"/>
        <v>71040</v>
      </c>
      <c r="D31" s="239">
        <f t="shared" si="11"/>
        <v>11840</v>
      </c>
      <c r="E31" s="239">
        <f t="shared" si="1"/>
        <v>59200</v>
      </c>
      <c r="F31" s="237"/>
      <c r="G31" s="241">
        <f ca="1">DATA!$D$11/1000000</f>
        <v>5.4660127313344615</v>
      </c>
      <c r="H31" s="241">
        <f>C31*DATA!$D$5/1000000</f>
        <v>77.016243259782939</v>
      </c>
      <c r="I31" s="241">
        <f>(C31*DATA!$D$5*DATA!$D$7)/1000000</f>
        <v>1.7328654733451161</v>
      </c>
      <c r="J31" s="239">
        <f t="shared" ca="1" si="5"/>
        <v>84.215121464462513</v>
      </c>
      <c r="K31" s="237"/>
      <c r="L31" s="239">
        <f>((D31*DATA!$D$23)/1000000)+((E31*DATA!$D$24)/1000000)</f>
        <v>17.105248</v>
      </c>
      <c r="M31" s="239">
        <f t="shared" si="2"/>
        <v>17.105248</v>
      </c>
      <c r="N31" s="239">
        <f t="shared" ca="1" si="6"/>
        <v>-67.10987346446251</v>
      </c>
      <c r="O31" s="238">
        <f>1/(1+'[164]Asumsi I'!$C$3)^(KKF!A31)</f>
        <v>6.5882103338524081E-2</v>
      </c>
      <c r="P31" s="239">
        <f t="shared" ca="1" si="7"/>
        <v>-4.4213396186209941</v>
      </c>
      <c r="Q31" s="239">
        <f ca="1">Q30+P31</f>
        <v>-718.05707480225772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2"/>
        <v>25</v>
      </c>
      <c r="B32" s="237">
        <f>B30+1</f>
        <v>2047</v>
      </c>
      <c r="C32" s="238">
        <f t="shared" si="8"/>
        <v>71040</v>
      </c>
      <c r="D32" s="239">
        <f t="shared" si="11"/>
        <v>11840</v>
      </c>
      <c r="E32" s="239">
        <f t="shared" si="1"/>
        <v>59200</v>
      </c>
      <c r="F32" s="237"/>
      <c r="G32" s="241">
        <f ca="1">DATA!$D$11/1000000</f>
        <v>5.4660127313344615</v>
      </c>
      <c r="H32" s="241">
        <f>C32*DATA!$D$5/1000000</f>
        <v>77.016243259782939</v>
      </c>
      <c r="I32" s="241">
        <f>(C32*DATA!$D$5*DATA!$D$7)/1000000</f>
        <v>1.7328654733451161</v>
      </c>
      <c r="J32" s="239">
        <f t="shared" ca="1" si="5"/>
        <v>84.215121464462513</v>
      </c>
      <c r="K32" s="237"/>
      <c r="L32" s="239">
        <f>((D32*DATA!$D$23)/1000000)+((E32*DATA!$D$24)/1000000)</f>
        <v>17.105248</v>
      </c>
      <c r="M32" s="239">
        <f t="shared" si="2"/>
        <v>17.105248</v>
      </c>
      <c r="N32" s="239">
        <f t="shared" ca="1" si="6"/>
        <v>-67.10987346446251</v>
      </c>
      <c r="O32" s="238">
        <f>1/(1+'[164]Asumsi I'!$C$3)^(KKF!A32)</f>
        <v>5.8823306552253637E-2</v>
      </c>
      <c r="P32" s="239">
        <f t="shared" ca="1" si="7"/>
        <v>-3.9476246594830302</v>
      </c>
      <c r="Q32" s="239">
        <f ca="1">Q31+P32</f>
        <v>-722.00469946174076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26" t="s">
        <v>1347</v>
      </c>
      <c r="G33" s="626"/>
      <c r="H33" s="626"/>
      <c r="I33" s="247"/>
      <c r="J33" s="248">
        <f ca="1">SUM(J7:J32)</f>
        <v>2397.2695373651409</v>
      </c>
      <c r="K33" s="626" t="s">
        <v>1348</v>
      </c>
      <c r="L33" s="626"/>
      <c r="M33" s="248">
        <f>SUM(M7:M32)</f>
        <v>523.87007466666682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-4.3494568784747836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0.21852781529208301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-644.6470530908399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63"/>
  <sheetViews>
    <sheetView showGridLines="0" topLeftCell="A4" zoomScale="130" zoomScaleNormal="130" zoomScaleSheetLayoutView="85" workbookViewId="0">
      <pane ySplit="10" topLeftCell="A128" activePane="bottomLeft" state="frozen"/>
      <selection activeCell="F152" sqref="F152"/>
      <selection pane="bottomLeft" activeCell="G6" sqref="G6:K6"/>
    </sheetView>
  </sheetViews>
  <sheetFormatPr defaultRowHeight="15"/>
  <cols>
    <col min="1" max="1" width="8.28515625" style="259" customWidth="1"/>
    <col min="2" max="2" width="5.140625" style="260" customWidth="1"/>
    <col min="3" max="3" width="56.570312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9" t="s">
        <v>1009</v>
      </c>
      <c r="P3" s="629"/>
      <c r="Q3" s="269"/>
      <c r="T3" s="267"/>
      <c r="U3" s="268" t="s">
        <v>1014</v>
      </c>
      <c r="V3" s="267"/>
    </row>
    <row r="4" spans="1:22" ht="15.75" customHeight="1">
      <c r="B4" s="630" t="s">
        <v>1647</v>
      </c>
      <c r="C4" s="630"/>
      <c r="D4" s="630"/>
      <c r="E4" s="630"/>
      <c r="F4" s="630"/>
      <c r="G4" s="630"/>
      <c r="H4" s="630"/>
      <c r="I4" s="630"/>
      <c r="J4" s="630"/>
      <c r="K4" s="630"/>
      <c r="O4" s="629"/>
      <c r="P4" s="629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46" t="s">
        <v>1662</v>
      </c>
      <c r="H6" s="646"/>
      <c r="I6" s="646"/>
      <c r="J6" s="646"/>
      <c r="K6" s="646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1664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1663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2" t="s">
        <v>0</v>
      </c>
      <c r="C11" s="634" t="s">
        <v>1</v>
      </c>
      <c r="D11" s="637" t="s">
        <v>34</v>
      </c>
      <c r="E11" s="637" t="s">
        <v>35</v>
      </c>
      <c r="F11" s="637" t="s">
        <v>2</v>
      </c>
      <c r="G11" s="639" t="s">
        <v>33</v>
      </c>
      <c r="H11" s="637" t="s">
        <v>3</v>
      </c>
      <c r="I11" s="637"/>
      <c r="J11" s="637"/>
      <c r="K11" s="656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3"/>
      <c r="C12" s="635"/>
      <c r="D12" s="638"/>
      <c r="E12" s="638"/>
      <c r="F12" s="638"/>
      <c r="G12" s="640"/>
      <c r="H12" s="642" t="s">
        <v>38</v>
      </c>
      <c r="I12" s="642" t="s">
        <v>5</v>
      </c>
      <c r="J12" s="638" t="s">
        <v>39</v>
      </c>
      <c r="K12" s="657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3"/>
      <c r="C13" s="636"/>
      <c r="D13" s="638"/>
      <c r="E13" s="638"/>
      <c r="F13" s="638"/>
      <c r="G13" s="641"/>
      <c r="H13" s="643"/>
      <c r="I13" s="643"/>
      <c r="J13" s="638"/>
      <c r="K13" s="657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 ht="14.25" customHeight="1">
      <c r="A15" s="259"/>
      <c r="B15" s="292" t="s">
        <v>10</v>
      </c>
      <c r="C15" s="293" t="s">
        <v>1621</v>
      </c>
      <c r="D15" s="281" t="str">
        <f ca="1">IF(ISERROR(OFFSET('HARGA SATUAN'!$D$6,MATCH('RAB Standart'!C15,'HARGA SATUAN'!$C$7:$C$1509,0),0)),"",OFFSET('HARGA SATUAN'!$D$6,MATCH('RAB Standart'!C15,'HARGA SATUAN'!$C$7:$C$1509,0),0))</f>
        <v/>
      </c>
      <c r="E15" s="282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291"/>
      <c r="G15" s="283">
        <f ca="1">IF(ISERROR(OFFSET('HARGA SATUAN'!$I$6,MATCH('RAB Standart'!C15,'HARGA SATUAN'!$C$7:$C$1509,0),0)),0,OFFSET('HARGA SATUAN'!$I$6,MATCH('RAB Standart'!C15,'HARGA SATUAN'!$C$7:$C$1509,0),0))</f>
        <v>0</v>
      </c>
      <c r="H15" s="284">
        <f t="shared" ref="H15" ca="1" si="0">IF(OR(D15="MDU",D15="MDU-KD"),(IF($O$3="RAB NON MDU","PLN KD",G15*F15)),0)</f>
        <v>0</v>
      </c>
      <c r="I15" s="284">
        <f t="shared" ref="I15" ca="1" si="1">IF(D15="HDW",G15*F15,0)</f>
        <v>0</v>
      </c>
      <c r="J15" s="284">
        <f t="shared" ref="J15" ca="1" si="2">IF(D15="JASA",G15*F15,0)</f>
        <v>0</v>
      </c>
      <c r="K15" s="285">
        <f t="shared" ref="K15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 ht="14.25" customHeight="1">
      <c r="A16" s="259"/>
      <c r="B16" s="294" t="s">
        <v>1008</v>
      </c>
      <c r="C16" s="495" t="s">
        <v>1655</v>
      </c>
      <c r="D16" s="281" t="str">
        <f ca="1">IF(ISERROR(OFFSET('HARGA SATUAN'!$D$6,MATCH('RAB Standart'!C16,'HARGA SATUAN'!$C$7:$C$1509,0),0)),"",OFFSET('HARGA SATUAN'!$D$6,MATCH('RAB Standart'!C16,'HARGA SATUAN'!$C$7:$C$1509,0),0))</f>
        <v/>
      </c>
      <c r="E16" s="282" t="str">
        <f ca="1">IF(B16="+","Unit",IF(ISERROR(OFFSET('HARGA SATUAN'!$E$6,MATCH('RAB Standart'!C16,'HARGA SATUAN'!$C$7:$C$1509,0),0)),"",OFFSET('HARGA SATUAN'!$E$6,MATCH('RAB Standart'!C16,'HARGA SATUAN'!$C$7:$C$1509,0),0)))</f>
        <v>Unit</v>
      </c>
      <c r="F16" s="291">
        <v>1</v>
      </c>
      <c r="G16" s="283">
        <f ca="1">IF(ISERROR(OFFSET('HARGA SATUAN'!$I$6,MATCH('RAB Standart'!C16,'HARGA SATUAN'!$C$7:$C$1509,0),0)),0,OFFSET('HARGA SATUAN'!$I$6,MATCH('RAB Standart'!C16,'HARGA SATUAN'!$C$7:$C$1509,0),0))</f>
        <v>0</v>
      </c>
      <c r="H16" s="284">
        <f t="shared" ref="H16:H40" ca="1" si="4">IF(OR(D16="MDU",D16="MDU-KD"),(IF($O$3="RAB NON MDU","PLN KD",G16*F16)),0)</f>
        <v>0</v>
      </c>
      <c r="I16" s="284">
        <f t="shared" ref="I16:I40" ca="1" si="5">IF(D16="HDW",G16*F16,0)</f>
        <v>0</v>
      </c>
      <c r="J16" s="284">
        <f t="shared" ref="J16:J40" ca="1" si="6">IF(D16="JASA",G16*F16,0)</f>
        <v>0</v>
      </c>
      <c r="K16" s="285">
        <f t="shared" ref="K16:K40" ca="1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 ht="14.25" customHeight="1">
      <c r="A17" s="259"/>
      <c r="B17" s="294">
        <v>1</v>
      </c>
      <c r="C17" s="495" t="s">
        <v>1055</v>
      </c>
      <c r="D17" s="281" t="str">
        <f ca="1">IF(ISERROR(OFFSET('HARGA SATUAN'!$D$6,MATCH('RAB Standart'!C17,'HARGA SATUAN'!$C$7:$C$1509,0),0)),"",OFFSET('HARGA SATUAN'!$D$6,MATCH('RAB Standart'!C17,'HARGA SATUAN'!$C$7:$C$1509,0),0))</f>
        <v>HDW</v>
      </c>
      <c r="E17" s="282" t="str">
        <f ca="1">IF(B17="+","Unit",IF(ISERROR(OFFSET('HARGA SATUAN'!$E$6,MATCH('RAB Standart'!C17,'HARGA SATUAN'!$C$7:$C$1509,0),0)),"",OFFSET('HARGA SATUAN'!$E$6,MATCH('RAB Standart'!C17,'HARGA SATUAN'!$C$7:$C$1509,0),0)))</f>
        <v>Bh</v>
      </c>
      <c r="F17" s="291">
        <f>F16*2</f>
        <v>2</v>
      </c>
      <c r="G17" s="283">
        <f ca="1">IF(ISERROR(OFFSET('HARGA SATUAN'!$I$6,MATCH('RAB Standart'!C17,'HARGA SATUAN'!$C$7:$C$1509,0),0)),0,OFFSET('HARGA SATUAN'!$I$6,MATCH('RAB Standart'!C17,'HARGA SATUAN'!$C$7:$C$1509,0),0))</f>
        <v>154106.74</v>
      </c>
      <c r="H17" s="284">
        <f t="shared" ca="1" si="4"/>
        <v>0</v>
      </c>
      <c r="I17" s="284">
        <f t="shared" ca="1" si="5"/>
        <v>308213.48</v>
      </c>
      <c r="J17" s="284">
        <f t="shared" ca="1" si="6"/>
        <v>0</v>
      </c>
      <c r="K17" s="285">
        <f t="shared" ca="1" si="7"/>
        <v>308213.48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 ht="14.25" customHeight="1">
      <c r="A18" s="259"/>
      <c r="B18" s="294">
        <v>2</v>
      </c>
      <c r="C18" s="495" t="s">
        <v>1050</v>
      </c>
      <c r="D18" s="281" t="str">
        <f ca="1">IF(ISERROR(OFFSET('HARGA SATUAN'!$D$6,MATCH('RAB Standart'!C18,'HARGA SATUAN'!$C$7:$C$1509,0),0)),"",OFFSET('HARGA SATUAN'!$D$6,MATCH('RAB Standart'!C18,'HARGA SATUAN'!$C$7:$C$1509,0),0))</f>
        <v>HDW</v>
      </c>
      <c r="E18" s="282" t="str">
        <f ca="1">IF(B18="+","Unit",IF(ISERROR(OFFSET('HARGA SATUAN'!$E$6,MATCH('RAB Standart'!C18,'HARGA SATUAN'!$C$7:$C$1509,0),0)),"",OFFSET('HARGA SATUAN'!$E$6,MATCH('RAB Standart'!C18,'HARGA SATUAN'!$C$7:$C$1509,0),0)))</f>
        <v>Mtr</v>
      </c>
      <c r="F18" s="291">
        <f>F16*6</f>
        <v>6</v>
      </c>
      <c r="G18" s="283">
        <f ca="1">IF(ISERROR(OFFSET('HARGA SATUAN'!$I$6,MATCH('RAB Standart'!C18,'HARGA SATUAN'!$C$7:$C$1509,0),0)),0,OFFSET('HARGA SATUAN'!$I$6,MATCH('RAB Standart'!C18,'HARGA SATUAN'!$C$7:$C$1509,0),0))</f>
        <v>31720</v>
      </c>
      <c r="H18" s="284">
        <f t="shared" ca="1" si="4"/>
        <v>0</v>
      </c>
      <c r="I18" s="284">
        <f t="shared" ca="1" si="5"/>
        <v>190320</v>
      </c>
      <c r="J18" s="284">
        <f t="shared" ca="1" si="6"/>
        <v>0</v>
      </c>
      <c r="K18" s="285">
        <f t="shared" ca="1" si="7"/>
        <v>190320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4">
        <v>3</v>
      </c>
      <c r="C19" s="495" t="s">
        <v>1051</v>
      </c>
      <c r="D19" s="281" t="str">
        <f ca="1">IF(ISERROR(OFFSET('HARGA SATUAN'!$D$6,MATCH('RAB Standart'!C19,'HARGA SATUAN'!$C$7:$C$1509,0),0)),"",OFFSET('HARGA SATUAN'!$D$6,MATCH('RAB Standart'!C19,'HARGA SATUAN'!$C$7:$C$1509,0),0))</f>
        <v>HDW</v>
      </c>
      <c r="E19" s="282" t="str">
        <f ca="1">IF(B19="+","Unit",IF(ISERROR(OFFSET('HARGA SATUAN'!$E$6,MATCH('RAB Standart'!C19,'HARGA SATUAN'!$C$7:$C$1509,0),0)),"",OFFSET('HARGA SATUAN'!$E$6,MATCH('RAB Standart'!C19,'HARGA SATUAN'!$C$7:$C$1509,0),0)))</f>
        <v>Mtr</v>
      </c>
      <c r="F19" s="291">
        <f>F16*3.5</f>
        <v>3.5</v>
      </c>
      <c r="G19" s="283">
        <f ca="1">IF(ISERROR(OFFSET('HARGA SATUAN'!$I$6,MATCH('RAB Standart'!C19,'HARGA SATUAN'!$C$7:$C$1509,0),0)),0,OFFSET('HARGA SATUAN'!$I$6,MATCH('RAB Standart'!C19,'HARGA SATUAN'!$C$7:$C$1509,0),0))</f>
        <v>51240</v>
      </c>
      <c r="H19" s="284">
        <f t="shared" ca="1" si="4"/>
        <v>0</v>
      </c>
      <c r="I19" s="284">
        <f t="shared" ca="1" si="5"/>
        <v>179340</v>
      </c>
      <c r="J19" s="284">
        <f t="shared" ca="1" si="6"/>
        <v>0</v>
      </c>
      <c r="K19" s="285">
        <f t="shared" ca="1" si="7"/>
        <v>179340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25" customHeight="1">
      <c r="A20" s="259"/>
      <c r="B20" s="294">
        <v>4</v>
      </c>
      <c r="C20" s="495" t="s">
        <v>1054</v>
      </c>
      <c r="D20" s="281" t="str">
        <f ca="1">IF(ISERROR(OFFSET('HARGA SATUAN'!$D$6,MATCH('RAB Standart'!C20,'HARGA SATUAN'!$C$7:$C$1509,0),0)),"",OFFSET('HARGA SATUAN'!$D$6,MATCH('RAB Standart'!C20,'HARGA SATUAN'!$C$7:$C$1509,0),0))</f>
        <v>HDW</v>
      </c>
      <c r="E20" s="282" t="str">
        <f ca="1">IF(B20="+","Unit",IF(ISERROR(OFFSET('HARGA SATUAN'!$E$6,MATCH('RAB Standart'!C20,'HARGA SATUAN'!$C$7:$C$1509,0),0)),"",OFFSET('HARGA SATUAN'!$E$6,MATCH('RAB Standart'!C20,'HARGA SATUAN'!$C$7:$C$1509,0),0)))</f>
        <v>Bh</v>
      </c>
      <c r="F20" s="291">
        <f>F16*6</f>
        <v>6</v>
      </c>
      <c r="G20" s="283">
        <f ca="1">IF(ISERROR(OFFSET('HARGA SATUAN'!$I$6,MATCH('RAB Standart'!C20,'HARGA SATUAN'!$C$7:$C$1509,0),0)),0,OFFSET('HARGA SATUAN'!$I$6,MATCH('RAB Standart'!C20,'HARGA SATUAN'!$C$7:$C$1509,0),0))</f>
        <v>5531.48</v>
      </c>
      <c r="H20" s="284">
        <f t="shared" ca="1" si="4"/>
        <v>0</v>
      </c>
      <c r="I20" s="284">
        <f t="shared" ca="1" si="5"/>
        <v>33188.879999999997</v>
      </c>
      <c r="J20" s="284">
        <f t="shared" ca="1" si="6"/>
        <v>0</v>
      </c>
      <c r="K20" s="285">
        <f t="shared" ca="1" si="7"/>
        <v>33188.879999999997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25" customHeight="1">
      <c r="A21" s="259"/>
      <c r="B21" s="294">
        <v>5</v>
      </c>
      <c r="C21" s="495" t="s">
        <v>1053</v>
      </c>
      <c r="D21" s="281" t="str">
        <f ca="1">IF(ISERROR(OFFSET('HARGA SATUAN'!$D$6,MATCH('RAB Standart'!C21,'HARGA SATUAN'!$C$7:$C$1509,0),0)),"",OFFSET('HARGA SATUAN'!$D$6,MATCH('RAB Standart'!C21,'HARGA SATUAN'!$C$7:$C$1509,0),0))</f>
        <v>HDW</v>
      </c>
      <c r="E21" s="282" t="str">
        <f ca="1">IF(B21="+","Unit",IF(ISERROR(OFFSET('HARGA SATUAN'!$E$6,MATCH('RAB Standart'!C21,'HARGA SATUAN'!$C$7:$C$1509,0),0)),"",OFFSET('HARGA SATUAN'!$E$6,MATCH('RAB Standart'!C21,'HARGA SATUAN'!$C$7:$C$1509,0),0)))</f>
        <v>Bh</v>
      </c>
      <c r="F21" s="291">
        <f>F16*6</f>
        <v>6</v>
      </c>
      <c r="G21" s="283">
        <f ca="1">IF(ISERROR(OFFSET('HARGA SATUAN'!$I$6,MATCH('RAB Standart'!C21,'HARGA SATUAN'!$C$7:$C$1509,0),0)),0,OFFSET('HARGA SATUAN'!$I$6,MATCH('RAB Standart'!C21,'HARGA SATUAN'!$C$7:$C$1509,0),0))</f>
        <v>3477</v>
      </c>
      <c r="H21" s="284">
        <f t="shared" ca="1" si="4"/>
        <v>0</v>
      </c>
      <c r="I21" s="284">
        <f t="shared" ca="1" si="5"/>
        <v>20862</v>
      </c>
      <c r="J21" s="284">
        <f t="shared" ca="1" si="6"/>
        <v>0</v>
      </c>
      <c r="K21" s="285">
        <f t="shared" ca="1" si="7"/>
        <v>20862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4">
        <v>6</v>
      </c>
      <c r="C22" s="495" t="s">
        <v>1052</v>
      </c>
      <c r="D22" s="281" t="str">
        <f ca="1">IF(ISERROR(OFFSET('HARGA SATUAN'!$D$6,MATCH('RAB Standart'!C22,'HARGA SATUAN'!$C$7:$C$1509,0),0)),"",OFFSET('HARGA SATUAN'!$D$6,MATCH('RAB Standart'!C22,'HARGA SATUAN'!$C$7:$C$1509,0),0))</f>
        <v>HDW</v>
      </c>
      <c r="E22" s="282" t="str">
        <f ca="1">IF(B22="+","Unit",IF(ISERROR(OFFSET('HARGA SATUAN'!$E$6,MATCH('RAB Standart'!C22,'HARGA SATUAN'!$C$7:$C$1509,0),0)),"",OFFSET('HARGA SATUAN'!$E$6,MATCH('RAB Standart'!C22,'HARGA SATUAN'!$C$7:$C$1509,0),0)))</f>
        <v>Bh</v>
      </c>
      <c r="F22" s="291">
        <f>F16*1</f>
        <v>1</v>
      </c>
      <c r="G22" s="283">
        <f ca="1">IF(ISERROR(OFFSET('HARGA SATUAN'!$I$6,MATCH('RAB Standart'!C22,'HARGA SATUAN'!$C$7:$C$1509,0),0)),0,OFFSET('HARGA SATUAN'!$I$6,MATCH('RAB Standart'!C22,'HARGA SATUAN'!$C$7:$C$1509,0),0))</f>
        <v>3477</v>
      </c>
      <c r="H22" s="284">
        <f t="shared" ca="1" si="4"/>
        <v>0</v>
      </c>
      <c r="I22" s="284">
        <f t="shared" ca="1" si="5"/>
        <v>3477</v>
      </c>
      <c r="J22" s="284">
        <f t="shared" ca="1" si="6"/>
        <v>0</v>
      </c>
      <c r="K22" s="285">
        <f t="shared" ca="1" si="7"/>
        <v>3477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>
        <v>7</v>
      </c>
      <c r="C23" s="495" t="s">
        <v>1137</v>
      </c>
      <c r="D23" s="281" t="str">
        <f ca="1">IF(ISERROR(OFFSET('HARGA SATUAN'!$D$6,MATCH('RAB Standart'!C23,'HARGA SATUAN'!$C$7:$C$1509,0),0)),"",OFFSET('HARGA SATUAN'!$D$6,MATCH('RAB Standart'!C23,'HARGA SATUAN'!$C$7:$C$1509,0),0))</f>
        <v>HDW</v>
      </c>
      <c r="E23" s="282" t="str">
        <f ca="1">IF(B23="+","Unit",IF(ISERROR(OFFSET('HARGA SATUAN'!$E$6,MATCH('RAB Standart'!C23,'HARGA SATUAN'!$C$7:$C$1509,0),0)),"",OFFSET('HARGA SATUAN'!$E$6,MATCH('RAB Standart'!C23,'HARGA SATUAN'!$C$7:$C$1509,0),0)))</f>
        <v>Mtr</v>
      </c>
      <c r="F23" s="291">
        <f>F16*6</f>
        <v>6</v>
      </c>
      <c r="G23" s="283">
        <f ca="1">IF(ISERROR(OFFSET('HARGA SATUAN'!$I$6,MATCH('RAB Standart'!C23,'HARGA SATUAN'!$C$7:$C$1509,0),0)),0,OFFSET('HARGA SATUAN'!$I$6,MATCH('RAB Standart'!C23,'HARGA SATUAN'!$C$7:$C$1509,0),0))</f>
        <v>15000</v>
      </c>
      <c r="H23" s="284">
        <f t="shared" ca="1" si="4"/>
        <v>0</v>
      </c>
      <c r="I23" s="284">
        <f t="shared" ca="1" si="5"/>
        <v>90000</v>
      </c>
      <c r="J23" s="284">
        <f t="shared" ca="1" si="6"/>
        <v>0</v>
      </c>
      <c r="K23" s="285">
        <f t="shared" ca="1" si="7"/>
        <v>90000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8</v>
      </c>
      <c r="C24" s="495" t="s">
        <v>1056</v>
      </c>
      <c r="D24" s="281" t="str">
        <f ca="1">IF(ISERROR(OFFSET('HARGA SATUAN'!$D$6,MATCH('RAB Standart'!C24,'HARGA SATUAN'!$C$7:$C$1509,0),0)),"",OFFSET('HARGA SATUAN'!$D$6,MATCH('RAB Standart'!C24,'HARGA SATUAN'!$C$7:$C$1509,0),0))</f>
        <v>HDW</v>
      </c>
      <c r="E24" s="282" t="str">
        <f ca="1">IF(B24="+","Unit",IF(ISERROR(OFFSET('HARGA SATUAN'!$E$6,MATCH('RAB Standart'!C24,'HARGA SATUAN'!$C$7:$C$1509,0),0)),"",OFFSET('HARGA SATUAN'!$E$6,MATCH('RAB Standart'!C24,'HARGA SATUAN'!$C$7:$C$1509,0),0)))</f>
        <v>Bh</v>
      </c>
      <c r="F24" s="291">
        <f>F16*8</f>
        <v>8</v>
      </c>
      <c r="G24" s="283">
        <f ca="1">IF(ISERROR(OFFSET('HARGA SATUAN'!$I$6,MATCH('RAB Standart'!C24,'HARGA SATUAN'!$C$7:$C$1509,0),0)),0,OFFSET('HARGA SATUAN'!$I$6,MATCH('RAB Standart'!C24,'HARGA SATUAN'!$C$7:$C$1509,0),0))</f>
        <v>16226</v>
      </c>
      <c r="H24" s="284">
        <f t="shared" ca="1" si="4"/>
        <v>0</v>
      </c>
      <c r="I24" s="284">
        <f t="shared" ca="1" si="5"/>
        <v>129808</v>
      </c>
      <c r="J24" s="284">
        <f t="shared" ca="1" si="6"/>
        <v>0</v>
      </c>
      <c r="K24" s="285">
        <f t="shared" ca="1" si="7"/>
        <v>129808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9</v>
      </c>
      <c r="C25" s="495" t="s">
        <v>1039</v>
      </c>
      <c r="D25" s="281" t="str">
        <f ca="1">IF(ISERROR(OFFSET('HARGA SATUAN'!$D$6,MATCH('RAB Standart'!C25,'HARGA SATUAN'!$C$7:$C$1509,0),0)),"",OFFSET('HARGA SATUAN'!$D$6,MATCH('RAB Standart'!C25,'HARGA SATUAN'!$C$7:$C$1509,0),0))</f>
        <v>HDW</v>
      </c>
      <c r="E25" s="282" t="str">
        <f ca="1">IF(B25="+","Unit",IF(ISERROR(OFFSET('HARGA SATUAN'!$E$6,MATCH('RAB Standart'!C25,'HARGA SATUAN'!$C$7:$C$1509,0),0)),"",OFFSET('HARGA SATUAN'!$E$6,MATCH('RAB Standart'!C25,'HARGA SATUAN'!$C$7:$C$1509,0),0)))</f>
        <v>Bh</v>
      </c>
      <c r="F25" s="291">
        <f>F16*1</f>
        <v>1</v>
      </c>
      <c r="G25" s="283">
        <f ca="1">IF(ISERROR(OFFSET('HARGA SATUAN'!$I$6,MATCH('RAB Standart'!C25,'HARGA SATUAN'!$C$7:$C$1509,0),0)),0,OFFSET('HARGA SATUAN'!$I$6,MATCH('RAB Standart'!C25,'HARGA SATUAN'!$C$7:$C$1509,0),0))</f>
        <v>16226</v>
      </c>
      <c r="H25" s="284">
        <f t="shared" ca="1" si="4"/>
        <v>0</v>
      </c>
      <c r="I25" s="284">
        <f t="shared" ca="1" si="5"/>
        <v>16226</v>
      </c>
      <c r="J25" s="284">
        <f t="shared" ca="1" si="6"/>
        <v>0</v>
      </c>
      <c r="K25" s="285">
        <f t="shared" ca="1" si="7"/>
        <v>16226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10</v>
      </c>
      <c r="C26" s="495" t="s">
        <v>1045</v>
      </c>
      <c r="D26" s="281" t="str">
        <f ca="1">IF(ISERROR(OFFSET('HARGA SATUAN'!$D$6,MATCH('RAB Standart'!C26,'HARGA SATUAN'!$C$7:$C$1509,0),0)),"",OFFSET('HARGA SATUAN'!$D$6,MATCH('RAB Standart'!C26,'HARGA SATUAN'!$C$7:$C$1509,0),0))</f>
        <v>HDW</v>
      </c>
      <c r="E26" s="282" t="str">
        <f ca="1">IF(B26="+","Unit",IF(ISERROR(OFFSET('HARGA SATUAN'!$E$6,MATCH('RAB Standart'!C26,'HARGA SATUAN'!$C$7:$C$1509,0),0)),"",OFFSET('HARGA SATUAN'!$E$6,MATCH('RAB Standart'!C26,'HARGA SATUAN'!$C$7:$C$1509,0),0)))</f>
        <v>Bh</v>
      </c>
      <c r="F26" s="291">
        <f>F16*1</f>
        <v>1</v>
      </c>
      <c r="G26" s="283">
        <f ca="1">IF(ISERROR(OFFSET('HARGA SATUAN'!$I$6,MATCH('RAB Standart'!C26,'HARGA SATUAN'!$C$7:$C$1509,0),0)),0,OFFSET('HARGA SATUAN'!$I$6,MATCH('RAB Standart'!C26,'HARGA SATUAN'!$C$7:$C$1509,0),0))</f>
        <v>72742.5</v>
      </c>
      <c r="H26" s="284">
        <f t="shared" ca="1" si="4"/>
        <v>0</v>
      </c>
      <c r="I26" s="284">
        <f t="shared" ca="1" si="5"/>
        <v>72742.5</v>
      </c>
      <c r="J26" s="284">
        <f t="shared" ca="1" si="6"/>
        <v>0</v>
      </c>
      <c r="K26" s="285">
        <f t="shared" ca="1" si="7"/>
        <v>72742.5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>
        <v>11</v>
      </c>
      <c r="C27" s="495" t="s">
        <v>1046</v>
      </c>
      <c r="D27" s="281" t="str">
        <f ca="1">IF(ISERROR(OFFSET('HARGA SATUAN'!$D$6,MATCH('RAB Standart'!C27,'HARGA SATUAN'!$C$7:$C$1509,0),0)),"",OFFSET('HARGA SATUAN'!$D$6,MATCH('RAB Standart'!C27,'HARGA SATUAN'!$C$7:$C$1509,0),0))</f>
        <v>HDW</v>
      </c>
      <c r="E27" s="282" t="str">
        <f ca="1">IF(B27="+","Unit",IF(ISERROR(OFFSET('HARGA SATUAN'!$E$6,MATCH('RAB Standart'!C27,'HARGA SATUAN'!$C$7:$C$1509,0),0)),"",OFFSET('HARGA SATUAN'!$E$6,MATCH('RAB Standart'!C27,'HARGA SATUAN'!$C$7:$C$1509,0),0)))</f>
        <v>Bh</v>
      </c>
      <c r="F27" s="291">
        <f>F16*1</f>
        <v>1</v>
      </c>
      <c r="G27" s="283">
        <f ca="1">IF(ISERROR(OFFSET('HARGA SATUAN'!$I$6,MATCH('RAB Standart'!C27,'HARGA SATUAN'!$C$7:$C$1509,0),0)),0,OFFSET('HARGA SATUAN'!$I$6,MATCH('RAB Standart'!C27,'HARGA SATUAN'!$C$7:$C$1509,0),0))</f>
        <v>45445</v>
      </c>
      <c r="H27" s="284">
        <f t="shared" ca="1" si="4"/>
        <v>0</v>
      </c>
      <c r="I27" s="284">
        <f t="shared" ca="1" si="5"/>
        <v>45445</v>
      </c>
      <c r="J27" s="284">
        <f t="shared" ca="1" si="6"/>
        <v>0</v>
      </c>
      <c r="K27" s="285">
        <f t="shared" ca="1" si="7"/>
        <v>45445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>
        <v>12</v>
      </c>
      <c r="C28" s="495" t="s">
        <v>1047</v>
      </c>
      <c r="D28" s="281" t="str">
        <f ca="1">IF(ISERROR(OFFSET('HARGA SATUAN'!$D$6,MATCH('RAB Standart'!C28,'HARGA SATUAN'!$C$7:$C$1509,0),0)),"",OFFSET('HARGA SATUAN'!$D$6,MATCH('RAB Standart'!C28,'HARGA SATUAN'!$C$7:$C$1509,0),0))</f>
        <v>HDW</v>
      </c>
      <c r="E28" s="282" t="str">
        <f ca="1">IF(B28="+","Unit",IF(ISERROR(OFFSET('HARGA SATUAN'!$E$6,MATCH('RAB Standart'!C28,'HARGA SATUAN'!$C$7:$C$1509,0),0)),"",OFFSET('HARGA SATUAN'!$E$6,MATCH('RAB Standart'!C28,'HARGA SATUAN'!$C$7:$C$1509,0),0)))</f>
        <v>Bh</v>
      </c>
      <c r="F28" s="291">
        <f>F16*1</f>
        <v>1</v>
      </c>
      <c r="G28" s="283">
        <f ca="1">IF(ISERROR(OFFSET('HARGA SATUAN'!$I$6,MATCH('RAB Standart'!C28,'HARGA SATUAN'!$C$7:$C$1509,0),0)),0,OFFSET('HARGA SATUAN'!$I$6,MATCH('RAB Standart'!C28,'HARGA SATUAN'!$C$7:$C$1509,0),0))</f>
        <v>84820.5</v>
      </c>
      <c r="H28" s="284">
        <f t="shared" ca="1" si="4"/>
        <v>0</v>
      </c>
      <c r="I28" s="284">
        <f t="shared" ca="1" si="5"/>
        <v>84820.5</v>
      </c>
      <c r="J28" s="284">
        <f t="shared" ca="1" si="6"/>
        <v>0</v>
      </c>
      <c r="K28" s="285">
        <f t="shared" ca="1" si="7"/>
        <v>84820.5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13</v>
      </c>
      <c r="C29" s="495" t="s">
        <v>1048</v>
      </c>
      <c r="D29" s="281" t="str">
        <f ca="1">IF(ISERROR(OFFSET('HARGA SATUAN'!$D$6,MATCH('RAB Standart'!C29,'HARGA SATUAN'!$C$7:$C$1509,0),0)),"",OFFSET('HARGA SATUAN'!$D$6,MATCH('RAB Standart'!C29,'HARGA SATUAN'!$C$7:$C$1509,0),0))</f>
        <v>HDW</v>
      </c>
      <c r="E29" s="282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91">
        <f>F16*1</f>
        <v>1</v>
      </c>
      <c r="G29" s="283">
        <f ca="1">IF(ISERROR(OFFSET('HARGA SATUAN'!$I$6,MATCH('RAB Standart'!C29,'HARGA SATUAN'!$C$7:$C$1509,0),0)),0,OFFSET('HARGA SATUAN'!$I$6,MATCH('RAB Standart'!C29,'HARGA SATUAN'!$C$7:$C$1509,0),0))</f>
        <v>53866.659999999996</v>
      </c>
      <c r="H29" s="284">
        <f t="shared" ca="1" si="4"/>
        <v>0</v>
      </c>
      <c r="I29" s="284">
        <f t="shared" ca="1" si="5"/>
        <v>53866.659999999996</v>
      </c>
      <c r="J29" s="284">
        <f t="shared" ca="1" si="6"/>
        <v>0</v>
      </c>
      <c r="K29" s="285">
        <f t="shared" ca="1" si="7"/>
        <v>53866.659999999996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14</v>
      </c>
      <c r="C30" s="495" t="s">
        <v>1042</v>
      </c>
      <c r="D30" s="281" t="str">
        <f ca="1">IF(ISERROR(OFFSET('HARGA SATUAN'!$D$6,MATCH('RAB Standart'!C30,'HARGA SATUAN'!$C$7:$C$1509,0),0)),"",OFFSET('HARGA SATUAN'!$D$6,MATCH('RAB Standart'!C30,'HARGA SATUAN'!$C$7:$C$1509,0),0))</f>
        <v>HDW</v>
      </c>
      <c r="E30" s="282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91">
        <f>F16*1</f>
        <v>1</v>
      </c>
      <c r="G30" s="283">
        <f ca="1">IF(ISERROR(OFFSET('HARGA SATUAN'!$I$6,MATCH('RAB Standart'!C30,'HARGA SATUAN'!$C$7:$C$1509,0),0)),0,OFFSET('HARGA SATUAN'!$I$6,MATCH('RAB Standart'!C30,'HARGA SATUAN'!$C$7:$C$1509,0),0))</f>
        <v>84820.5</v>
      </c>
      <c r="H30" s="284">
        <f t="shared" ca="1" si="4"/>
        <v>0</v>
      </c>
      <c r="I30" s="284">
        <f t="shared" ca="1" si="5"/>
        <v>84820.5</v>
      </c>
      <c r="J30" s="284">
        <f t="shared" ca="1" si="6"/>
        <v>0</v>
      </c>
      <c r="K30" s="285">
        <f t="shared" ca="1" si="7"/>
        <v>84820.5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15</v>
      </c>
      <c r="C31" s="495" t="s">
        <v>28</v>
      </c>
      <c r="D31" s="281" t="str">
        <f ca="1">IF(ISERROR(OFFSET('HARGA SATUAN'!$D$6,MATCH('RAB Standart'!C31,'HARGA SATUAN'!$C$7:$C$1509,0),0)),"",OFFSET('HARGA SATUAN'!$D$6,MATCH('RAB Standart'!C31,'HARGA SATUAN'!$C$7:$C$1509,0),0))</f>
        <v>HDW</v>
      </c>
      <c r="E31" s="282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291">
        <f>F16*2</f>
        <v>2</v>
      </c>
      <c r="G31" s="283">
        <f ca="1">IF(ISERROR(OFFSET('HARGA SATUAN'!$I$6,MATCH('RAB Standart'!C31,'HARGA SATUAN'!$C$7:$C$1509,0),0)),0,OFFSET('HARGA SATUAN'!$I$6,MATCH('RAB Standart'!C31,'HARGA SATUAN'!$C$7:$C$1509,0),0))</f>
        <v>63500</v>
      </c>
      <c r="H31" s="284">
        <f t="shared" ca="1" si="4"/>
        <v>0</v>
      </c>
      <c r="I31" s="284">
        <f t="shared" ca="1" si="5"/>
        <v>127000</v>
      </c>
      <c r="J31" s="284">
        <f t="shared" ca="1" si="6"/>
        <v>0</v>
      </c>
      <c r="K31" s="285">
        <f t="shared" ca="1" si="7"/>
        <v>127000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16</v>
      </c>
      <c r="C32" s="495" t="s">
        <v>1656</v>
      </c>
      <c r="D32" s="281" t="str">
        <f ca="1">IF(ISERROR(OFFSET('HARGA SATUAN'!$D$6,MATCH('RAB Standart'!C32,'HARGA SATUAN'!$C$7:$C$1509,0),0)),"",OFFSET('HARGA SATUAN'!$D$6,MATCH('RAB Standart'!C32,'HARGA SATUAN'!$C$7:$C$1509,0),0))</f>
        <v>HDW</v>
      </c>
      <c r="E32" s="282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91">
        <f>F16*1</f>
        <v>1</v>
      </c>
      <c r="G32" s="283">
        <f ca="1">IF(ISERROR(OFFSET('HARGA SATUAN'!$I$6,MATCH('RAB Standart'!C32,'HARGA SATUAN'!$C$7:$C$1509,0),0)),0,OFFSET('HARGA SATUAN'!$I$6,MATCH('RAB Standart'!C32,'HARGA SATUAN'!$C$7:$C$1509,0),0))</f>
        <v>61732</v>
      </c>
      <c r="H32" s="284">
        <f t="shared" ca="1" si="4"/>
        <v>0</v>
      </c>
      <c r="I32" s="284">
        <f t="shared" ca="1" si="5"/>
        <v>61732</v>
      </c>
      <c r="J32" s="284">
        <f t="shared" ca="1" si="6"/>
        <v>0</v>
      </c>
      <c r="K32" s="285">
        <f t="shared" ca="1" si="7"/>
        <v>61732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17</v>
      </c>
      <c r="C33" s="495" t="s">
        <v>552</v>
      </c>
      <c r="D33" s="281" t="str">
        <f ca="1">IF(ISERROR(OFFSET('HARGA SATUAN'!$D$6,MATCH('RAB Standart'!C33,'HARGA SATUAN'!$C$7:$C$1509,0),0)),"",OFFSET('HARGA SATUAN'!$D$6,MATCH('RAB Standart'!C33,'HARGA SATUAN'!$C$7:$C$1509,0),0))</f>
        <v>MDU-KD</v>
      </c>
      <c r="E33" s="282" t="str">
        <f ca="1">IF(B33="+","Unit",IF(ISERROR(OFFSET('HARGA SATUAN'!$E$6,MATCH('RAB Standart'!C33,'HARGA SATUAN'!$C$7:$C$1509,0),0)),"",OFFSET('HARGA SATUAN'!$E$6,MATCH('RAB Standart'!C33,'HARGA SATUAN'!$C$7:$C$1509,0),0)))</f>
        <v>Bh</v>
      </c>
      <c r="F33" s="291">
        <f>F16*3</f>
        <v>3</v>
      </c>
      <c r="G33" s="283">
        <f ca="1">IF(ISERROR(OFFSET('HARGA SATUAN'!$I$6,MATCH('RAB Standart'!C33,'HARGA SATUAN'!$C$7:$C$1509,0),0)),0,OFFSET('HARGA SATUAN'!$I$6,MATCH('RAB Standart'!C33,'HARGA SATUAN'!$C$7:$C$1509,0),0))</f>
        <v>725900</v>
      </c>
      <c r="H33" s="284">
        <f t="shared" ca="1" si="4"/>
        <v>2177700</v>
      </c>
      <c r="I33" s="284">
        <f t="shared" ca="1" si="5"/>
        <v>0</v>
      </c>
      <c r="J33" s="284">
        <f t="shared" ca="1" si="6"/>
        <v>0</v>
      </c>
      <c r="K33" s="285">
        <f t="shared" ca="1" si="7"/>
        <v>2177700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>
        <v>18</v>
      </c>
      <c r="C34" s="495" t="s">
        <v>1049</v>
      </c>
      <c r="D34" s="281" t="str">
        <f ca="1">IF(ISERROR(OFFSET('HARGA SATUAN'!$D$6,MATCH('RAB Standart'!C34,'HARGA SATUAN'!$C$7:$C$1509,0),0)),"",OFFSET('HARGA SATUAN'!$D$6,MATCH('RAB Standart'!C34,'HARGA SATUAN'!$C$7:$C$1509,0),0))</f>
        <v>HDW</v>
      </c>
      <c r="E34" s="282" t="str">
        <f ca="1">IF(B34="+","Unit",IF(ISERROR(OFFSET('HARGA SATUAN'!$E$6,MATCH('RAB Standart'!C34,'HARGA SATUAN'!$C$7:$C$1509,0),0)),"",OFFSET('HARGA SATUAN'!$E$6,MATCH('RAB Standart'!C34,'HARGA SATUAN'!$C$7:$C$1509,0),0)))</f>
        <v>Bh</v>
      </c>
      <c r="F34" s="291">
        <f>F16*8</f>
        <v>8</v>
      </c>
      <c r="G34" s="283">
        <f ca="1">IF(ISERROR(OFFSET('HARGA SATUAN'!$I$6,MATCH('RAB Standart'!C34,'HARGA SATUAN'!$C$7:$C$1509,0),0)),0,OFFSET('HARGA SATUAN'!$I$6,MATCH('RAB Standart'!C34,'HARGA SATUAN'!$C$7:$C$1509,0),0))</f>
        <v>22400</v>
      </c>
      <c r="H34" s="284">
        <f t="shared" ca="1" si="4"/>
        <v>0</v>
      </c>
      <c r="I34" s="284">
        <f t="shared" ca="1" si="5"/>
        <v>179200</v>
      </c>
      <c r="J34" s="284">
        <f t="shared" ca="1" si="6"/>
        <v>0</v>
      </c>
      <c r="K34" s="285">
        <f t="shared" ca="1" si="7"/>
        <v>179200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>
        <v>19</v>
      </c>
      <c r="C35" s="495" t="s">
        <v>1058</v>
      </c>
      <c r="D35" s="281" t="str">
        <f ca="1">IF(ISERROR(OFFSET('HARGA SATUAN'!$D$6,MATCH('RAB Standart'!C35,'HARGA SATUAN'!$C$7:$C$1509,0),0)),"",OFFSET('HARGA SATUAN'!$D$6,MATCH('RAB Standart'!C35,'HARGA SATUAN'!$C$7:$C$1509,0),0))</f>
        <v>HDW</v>
      </c>
      <c r="E35" s="282" t="str">
        <f ca="1">IF(B35="+","Unit",IF(ISERROR(OFFSET('HARGA SATUAN'!$E$6,MATCH('RAB Standart'!C35,'HARGA SATUAN'!$C$7:$C$1509,0),0)),"",OFFSET('HARGA SATUAN'!$E$6,MATCH('RAB Standart'!C35,'HARGA SATUAN'!$C$7:$C$1509,0),0)))</f>
        <v>Bh</v>
      </c>
      <c r="F35" s="291">
        <f>F16*6</f>
        <v>6</v>
      </c>
      <c r="G35" s="283">
        <f ca="1">IF(ISERROR(OFFSET('HARGA SATUAN'!$I$6,MATCH('RAB Standart'!C35,'HARGA SATUAN'!$C$7:$C$1509,0),0)),0,OFFSET('HARGA SATUAN'!$I$6,MATCH('RAB Standart'!C35,'HARGA SATUAN'!$C$7:$C$1509,0),0))</f>
        <v>34299.08</v>
      </c>
      <c r="H35" s="284">
        <f t="shared" ca="1" si="4"/>
        <v>0</v>
      </c>
      <c r="I35" s="284">
        <f t="shared" ca="1" si="5"/>
        <v>205794.48</v>
      </c>
      <c r="J35" s="284">
        <f t="shared" ca="1" si="6"/>
        <v>0</v>
      </c>
      <c r="K35" s="285">
        <f t="shared" ca="1" si="7"/>
        <v>205794.48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4">
        <v>20</v>
      </c>
      <c r="C36" s="495" t="s">
        <v>1059</v>
      </c>
      <c r="D36" s="281" t="str">
        <f ca="1">IF(ISERROR(OFFSET('HARGA SATUAN'!$D$6,MATCH('RAB Standart'!C36,'HARGA SATUAN'!$C$7:$C$1509,0),0)),"",OFFSET('HARGA SATUAN'!$D$6,MATCH('RAB Standart'!C36,'HARGA SATUAN'!$C$7:$C$1509,0),0))</f>
        <v>HDW</v>
      </c>
      <c r="E36" s="282" t="str">
        <f ca="1">IF(B36="+","Unit",IF(ISERROR(OFFSET('HARGA SATUAN'!$E$6,MATCH('RAB Standart'!C36,'HARGA SATUAN'!$C$7:$C$1509,0),0)),"",OFFSET('HARGA SATUAN'!$E$6,MATCH('RAB Standart'!C36,'HARGA SATUAN'!$C$7:$C$1509,0),0)))</f>
        <v>Bh</v>
      </c>
      <c r="F36" s="291">
        <f>F16*3</f>
        <v>3</v>
      </c>
      <c r="G36" s="283">
        <f ca="1">IF(ISERROR(OFFSET('HARGA SATUAN'!$I$6,MATCH('RAB Standart'!C36,'HARGA SATUAN'!$C$7:$C$1509,0),0)),0,OFFSET('HARGA SATUAN'!$I$6,MATCH('RAB Standart'!C36,'HARGA SATUAN'!$C$7:$C$1509,0),0))</f>
        <v>19825</v>
      </c>
      <c r="H36" s="284">
        <f t="shared" ca="1" si="4"/>
        <v>0</v>
      </c>
      <c r="I36" s="284">
        <f t="shared" ca="1" si="5"/>
        <v>59475</v>
      </c>
      <c r="J36" s="284">
        <f t="shared" ca="1" si="6"/>
        <v>0</v>
      </c>
      <c r="K36" s="285">
        <f t="shared" ca="1" si="7"/>
        <v>59475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>
        <v>21</v>
      </c>
      <c r="C37" s="495" t="s">
        <v>1060</v>
      </c>
      <c r="D37" s="281" t="str">
        <f ca="1">IF(ISERROR(OFFSET('HARGA SATUAN'!$D$6,MATCH('RAB Standart'!C37,'HARGA SATUAN'!$C$7:$C$1509,0),0)),"",OFFSET('HARGA SATUAN'!$D$6,MATCH('RAB Standart'!C37,'HARGA SATUAN'!$C$7:$C$1509,0),0))</f>
        <v>HDW</v>
      </c>
      <c r="E37" s="282" t="str">
        <f ca="1">IF(B37="+","Unit",IF(ISERROR(OFFSET('HARGA SATUAN'!$E$6,MATCH('RAB Standart'!C37,'HARGA SATUAN'!$C$7:$C$1509,0),0)),"",OFFSET('HARGA SATUAN'!$E$6,MATCH('RAB Standart'!C37,'HARGA SATUAN'!$C$7:$C$1509,0),0)))</f>
        <v>Bh</v>
      </c>
      <c r="F37" s="291">
        <f>F16*1</f>
        <v>1</v>
      </c>
      <c r="G37" s="283">
        <f ca="1">IF(ISERROR(OFFSET('HARGA SATUAN'!$I$6,MATCH('RAB Standart'!C37,'HARGA SATUAN'!$C$7:$C$1509,0),0)),0,OFFSET('HARGA SATUAN'!$I$6,MATCH('RAB Standart'!C37,'HARGA SATUAN'!$C$7:$C$1509,0),0))</f>
        <v>5874300</v>
      </c>
      <c r="H37" s="284">
        <f t="shared" ca="1" si="4"/>
        <v>0</v>
      </c>
      <c r="I37" s="284">
        <f t="shared" ca="1" si="5"/>
        <v>5874300</v>
      </c>
      <c r="J37" s="284">
        <f t="shared" ca="1" si="6"/>
        <v>0</v>
      </c>
      <c r="K37" s="285">
        <f t="shared" ca="1" si="7"/>
        <v>5874300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>
        <v>22</v>
      </c>
      <c r="C38" s="495" t="s">
        <v>1061</v>
      </c>
      <c r="D38" s="281" t="str">
        <f ca="1">IF(ISERROR(OFFSET('HARGA SATUAN'!$D$6,MATCH('RAB Standart'!C38,'HARGA SATUAN'!$C$7:$C$1509,0),0)),"",OFFSET('HARGA SATUAN'!$D$6,MATCH('RAB Standart'!C38,'HARGA SATUAN'!$C$7:$C$1509,0),0))</f>
        <v>HDW</v>
      </c>
      <c r="E38" s="282" t="str">
        <f ca="1">IF(B38="+","Unit",IF(ISERROR(OFFSET('HARGA SATUAN'!$E$6,MATCH('RAB Standart'!C38,'HARGA SATUAN'!$C$7:$C$1509,0),0)),"",OFFSET('HARGA SATUAN'!$E$6,MATCH('RAB Standart'!C38,'HARGA SATUAN'!$C$7:$C$1509,0),0)))</f>
        <v>Bh</v>
      </c>
      <c r="F38" s="291">
        <f>F16*1</f>
        <v>1</v>
      </c>
      <c r="G38" s="283">
        <f ca="1">IF(ISERROR(OFFSET('HARGA SATUAN'!$I$6,MATCH('RAB Standart'!C38,'HARGA SATUAN'!$C$7:$C$1509,0),0)),0,OFFSET('HARGA SATUAN'!$I$6,MATCH('RAB Standart'!C38,'HARGA SATUAN'!$C$7:$C$1509,0),0))</f>
        <v>23180</v>
      </c>
      <c r="H38" s="284">
        <f t="shared" ca="1" si="4"/>
        <v>0</v>
      </c>
      <c r="I38" s="284">
        <f t="shared" ca="1" si="5"/>
        <v>23180</v>
      </c>
      <c r="J38" s="284">
        <f t="shared" ca="1" si="6"/>
        <v>0</v>
      </c>
      <c r="K38" s="285">
        <f t="shared" ca="1" si="7"/>
        <v>23180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>
        <v>23</v>
      </c>
      <c r="C39" s="495" t="s">
        <v>587</v>
      </c>
      <c r="D39" s="281" t="str">
        <f ca="1">IF(ISERROR(OFFSET('HARGA SATUAN'!$D$6,MATCH('RAB Standart'!C39,'HARGA SATUAN'!$C$7:$C$1509,0),0)),"",OFFSET('HARGA SATUAN'!$D$6,MATCH('RAB Standart'!C39,'HARGA SATUAN'!$C$7:$C$1509,0),0))</f>
        <v>HDW</v>
      </c>
      <c r="E39" s="282" t="str">
        <f ca="1">IF(B39="+","Unit",IF(ISERROR(OFFSET('HARGA SATUAN'!$E$6,MATCH('RAB Standart'!C39,'HARGA SATUAN'!$C$7:$C$1509,0),0)),"",OFFSET('HARGA SATUAN'!$E$6,MATCH('RAB Standart'!C39,'HARGA SATUAN'!$C$7:$C$1509,0),0)))</f>
        <v>Bh</v>
      </c>
      <c r="F39" s="291">
        <f>F16*1</f>
        <v>1</v>
      </c>
      <c r="G39" s="283">
        <f ca="1">IF(ISERROR(OFFSET('HARGA SATUAN'!$I$6,MATCH('RAB Standart'!C39,'HARGA SATUAN'!$C$7:$C$1509,0),0)),0,OFFSET('HARGA SATUAN'!$I$6,MATCH('RAB Standart'!C39,'HARGA SATUAN'!$C$7:$C$1509,0),0))</f>
        <v>380500</v>
      </c>
      <c r="H39" s="284">
        <f t="shared" ca="1" si="4"/>
        <v>0</v>
      </c>
      <c r="I39" s="284">
        <f t="shared" ca="1" si="5"/>
        <v>380500</v>
      </c>
      <c r="J39" s="284">
        <f t="shared" ca="1" si="6"/>
        <v>0</v>
      </c>
      <c r="K39" s="285">
        <f t="shared" ca="1" si="7"/>
        <v>380500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>
        <v>24</v>
      </c>
      <c r="C40" s="495" t="s">
        <v>1038</v>
      </c>
      <c r="D40" s="281" t="str">
        <f ca="1">IF(ISERROR(OFFSET('HARGA SATUAN'!$D$6,MATCH('RAB Standart'!C40,'HARGA SATUAN'!$C$7:$C$1509,0),0)),"",OFFSET('HARGA SATUAN'!$D$6,MATCH('RAB Standart'!C40,'HARGA SATUAN'!$C$7:$C$1509,0),0))</f>
        <v>JASA</v>
      </c>
      <c r="E40" s="282" t="str">
        <f ca="1">IF(B40="+","Unit",IF(ISERROR(OFFSET('HARGA SATUAN'!$E$6,MATCH('RAB Standart'!C40,'HARGA SATUAN'!$C$7:$C$1509,0),0)),"",OFFSET('HARGA SATUAN'!$E$6,MATCH('RAB Standart'!C40,'HARGA SATUAN'!$C$7:$C$1509,0),0)))</f>
        <v>Unit</v>
      </c>
      <c r="F40" s="291">
        <f>F16*1</f>
        <v>1</v>
      </c>
      <c r="G40" s="283">
        <f ca="1">IF(ISERROR(OFFSET('HARGA SATUAN'!$I$6,MATCH('RAB Standart'!C40,'HARGA SATUAN'!$C$7:$C$1509,0),0)),0,OFFSET('HARGA SATUAN'!$I$6,MATCH('RAB Standart'!C40,'HARGA SATUAN'!$C$7:$C$1509,0),0))</f>
        <v>56700</v>
      </c>
      <c r="H40" s="284">
        <f t="shared" ca="1" si="4"/>
        <v>0</v>
      </c>
      <c r="I40" s="284">
        <f t="shared" ca="1" si="5"/>
        <v>0</v>
      </c>
      <c r="J40" s="284">
        <f t="shared" ca="1" si="6"/>
        <v>56700</v>
      </c>
      <c r="K40" s="285">
        <f t="shared" ca="1" si="7"/>
        <v>56700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2"/>
      <c r="C41" s="293"/>
      <c r="D41" s="281" t="str">
        <f ca="1">IF(ISERROR(OFFSET('HARGA SATUAN'!$D$6,MATCH('RAB Standart'!C41,'HARGA SATUAN'!$C$7:$C$1509,0),0)),"",OFFSET('HARGA SATUAN'!$D$6,MATCH('RAB Standart'!C41,'HARGA SATUAN'!$C$7:$C$1509,0),0))</f>
        <v/>
      </c>
      <c r="E41" s="282" t="str">
        <f ca="1">IF(B41="+","Unit",IF(ISERROR(OFFSET('HARGA SATUAN'!$E$6,MATCH('RAB Standart'!C41,'HARGA SATUAN'!$C$7:$C$1509,0),0)),"",OFFSET('HARGA SATUAN'!$E$6,MATCH('RAB Standart'!C41,'HARGA SATUAN'!$C$7:$C$1509,0),0)))</f>
        <v/>
      </c>
      <c r="F41" s="291"/>
      <c r="G41" s="283"/>
      <c r="H41" s="284"/>
      <c r="I41" s="284"/>
      <c r="J41" s="284"/>
      <c r="K41" s="285"/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294" t="s">
        <v>1008</v>
      </c>
      <c r="C42" s="495" t="s">
        <v>1630</v>
      </c>
      <c r="D42" s="281" t="str">
        <f ca="1">IF(ISERROR(OFFSET('HARGA SATUAN'!$D$6,MATCH('RAB Standart'!C42,'HARGA SATUAN'!$C$7:$C$1509,0),0)),"",OFFSET('HARGA SATUAN'!$D$6,MATCH('RAB Standart'!C42,'HARGA SATUAN'!$C$7:$C$1509,0),0))</f>
        <v/>
      </c>
      <c r="E42" s="282" t="str">
        <f ca="1">IF(B42="+","Unit",IF(ISERROR(OFFSET('HARGA SATUAN'!$E$6,MATCH('RAB Standart'!C42,'HARGA SATUAN'!$C$7:$C$1509,0),0)),"",OFFSET('HARGA SATUAN'!$E$6,MATCH('RAB Standart'!C42,'HARGA SATUAN'!$C$7:$C$1509,0),0)))</f>
        <v>Unit</v>
      </c>
      <c r="F42" s="282">
        <v>3</v>
      </c>
      <c r="G42" s="283">
        <f ca="1">IF(ISERROR(OFFSET('HARGA SATUAN'!$I$6,MATCH('RAB Standart'!C42,'HARGA SATUAN'!$C$7:$C$1509,0),0)),0,OFFSET('HARGA SATUAN'!$I$6,MATCH('RAB Standart'!C42,'HARGA SATUAN'!$C$7:$C$1509,0),0))</f>
        <v>0</v>
      </c>
      <c r="H42" s="284">
        <f t="shared" ref="H42:H66" ca="1" si="8">IF(OR(D42="MDU",D42="MDU-KD"),(IF($O$3="RAB NON MDU","PLN KD",G42*F42)),0)</f>
        <v>0</v>
      </c>
      <c r="I42" s="284">
        <f t="shared" ref="I42:I66" ca="1" si="9">IF(D42="HDW",G42*F42,0)</f>
        <v>0</v>
      </c>
      <c r="J42" s="284">
        <f t="shared" ref="J42:J66" ca="1" si="10">IF(D42="JASA",G42*F42,0)</f>
        <v>0</v>
      </c>
      <c r="K42" s="285">
        <f t="shared" ref="K42:K66" ca="1" si="11">SUM(H42:J42)</f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 t="e">
        <f>IF(AND(C43=0,C44=0,#REF!=0),"BLANKS",1)</f>
        <v>#REF!</v>
      </c>
      <c r="B43" s="294">
        <v>1</v>
      </c>
      <c r="C43" s="495" t="s">
        <v>18</v>
      </c>
      <c r="D43" s="281" t="str">
        <f ca="1">IF(ISERROR(OFFSET('HARGA SATUAN'!$D$6,MATCH('RAB Standart'!C43,'HARGA SATUAN'!$C$7:$C$1509,0),0)),"",OFFSET('HARGA SATUAN'!$D$6,MATCH('RAB Standart'!C43,'HARGA SATUAN'!$C$7:$C$1509,0),0))</f>
        <v>HDW</v>
      </c>
      <c r="E43" s="282" t="str">
        <f ca="1">IF(B43="+","Unit",IF(ISERROR(OFFSET('HARGA SATUAN'!$E$6,MATCH('RAB Standart'!C43,'HARGA SATUAN'!$C$7:$C$1509,0),0)),"",OFFSET('HARGA SATUAN'!$E$6,MATCH('RAB Standart'!C43,'HARGA SATUAN'!$C$7:$C$1509,0),0)))</f>
        <v>Bh</v>
      </c>
      <c r="F43" s="282">
        <f>F42*1</f>
        <v>3</v>
      </c>
      <c r="G43" s="283">
        <f ca="1">IF(ISERROR(OFFSET('HARGA SATUAN'!$I$6,MATCH('RAB Standart'!C43,'HARGA SATUAN'!$C$7:$C$1509,0),0)),0,OFFSET('HARGA SATUAN'!$I$6,MATCH('RAB Standart'!C43,'HARGA SATUAN'!$C$7:$C$1509,0),0))</f>
        <v>26500</v>
      </c>
      <c r="H43" s="284">
        <f t="shared" ca="1" si="8"/>
        <v>0</v>
      </c>
      <c r="I43" s="284">
        <f t="shared" ca="1" si="9"/>
        <v>79500</v>
      </c>
      <c r="J43" s="284">
        <f t="shared" ca="1" si="10"/>
        <v>0</v>
      </c>
      <c r="K43" s="285">
        <f t="shared" ca="1" si="11"/>
        <v>79500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IF(AND(C44=0,#REF!=0,#REF!=0),"BLANKS",1)</f>
        <v>#REF!</v>
      </c>
      <c r="B44" s="294">
        <v>2</v>
      </c>
      <c r="C44" s="495" t="s">
        <v>196</v>
      </c>
      <c r="D44" s="281" t="str">
        <f ca="1">IF(ISERROR(OFFSET('HARGA SATUAN'!$D$6,MATCH('RAB Standart'!C44,'HARGA SATUAN'!$C$7:$C$1509,0),0)),"",OFFSET('HARGA SATUAN'!$D$6,MATCH('RAB Standart'!C44,'HARGA SATUAN'!$C$7:$C$1509,0),0))</f>
        <v>HDW</v>
      </c>
      <c r="E44" s="282" t="str">
        <f ca="1">IF(B44="+","Unit",IF(ISERROR(OFFSET('HARGA SATUAN'!$E$6,MATCH('RAB Standart'!C44,'HARGA SATUAN'!$C$7:$C$1509,0),0)),"",OFFSET('HARGA SATUAN'!$E$6,MATCH('RAB Standart'!C44,'HARGA SATUAN'!$C$7:$C$1509,0),0)))</f>
        <v>Bh</v>
      </c>
      <c r="F44" s="282">
        <f>F42*1</f>
        <v>3</v>
      </c>
      <c r="G44" s="283">
        <f ca="1">IF(ISERROR(OFFSET('HARGA SATUAN'!$I$6,MATCH('RAB Standart'!C44,'HARGA SATUAN'!$C$7:$C$1509,0),0)),0,OFFSET('HARGA SATUAN'!$I$6,MATCH('RAB Standart'!C44,'HARGA SATUAN'!$C$7:$C$1509,0),0))</f>
        <v>12500</v>
      </c>
      <c r="H44" s="284">
        <f t="shared" ca="1" si="8"/>
        <v>0</v>
      </c>
      <c r="I44" s="284">
        <f t="shared" ca="1" si="9"/>
        <v>37500</v>
      </c>
      <c r="J44" s="284">
        <f t="shared" ca="1" si="10"/>
        <v>0</v>
      </c>
      <c r="K44" s="285">
        <f t="shared" ca="1" si="11"/>
        <v>37500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/>
      <c r="B45" s="294">
        <v>3</v>
      </c>
      <c r="C45" s="495" t="s">
        <v>199</v>
      </c>
      <c r="D45" s="281" t="str">
        <f ca="1">IF(ISERROR(OFFSET('HARGA SATUAN'!$D$6,MATCH('RAB Standart'!C45,'HARGA SATUAN'!$C$7:$C$1509,0),0)),"",OFFSET('HARGA SATUAN'!$D$6,MATCH('RAB Standart'!C45,'HARGA SATUAN'!$C$7:$C$1509,0),0))</f>
        <v>HDW</v>
      </c>
      <c r="E45" s="282" t="str">
        <f ca="1">IF(B45="+","Unit",IF(ISERROR(OFFSET('HARGA SATUAN'!$E$6,MATCH('RAB Standart'!C45,'HARGA SATUAN'!$C$7:$C$1509,0),0)),"",OFFSET('HARGA SATUAN'!$E$6,MATCH('RAB Standart'!C45,'HARGA SATUAN'!$C$7:$C$1509,0),0)))</f>
        <v>Mtr</v>
      </c>
      <c r="F45" s="282">
        <f>F42*12</f>
        <v>36</v>
      </c>
      <c r="G45" s="283">
        <f ca="1">IF(ISERROR(OFFSET('HARGA SATUAN'!$I$6,MATCH('RAB Standart'!C45,'HARGA SATUAN'!$C$7:$C$1509,0),0)),0,OFFSET('HARGA SATUAN'!$I$6,MATCH('RAB Standart'!C45,'HARGA SATUAN'!$C$7:$C$1509,0),0))</f>
        <v>39204</v>
      </c>
      <c r="H45" s="284">
        <f t="shared" ca="1" si="8"/>
        <v>0</v>
      </c>
      <c r="I45" s="284">
        <f t="shared" ca="1" si="9"/>
        <v>1411344</v>
      </c>
      <c r="J45" s="284">
        <f t="shared" ca="1" si="10"/>
        <v>0</v>
      </c>
      <c r="K45" s="285">
        <f t="shared" ca="1" si="11"/>
        <v>1411344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 t="e">
        <f>IF(AND(C46=0,C47=0,#REF!=0),"BLANKS",1)</f>
        <v>#REF!</v>
      </c>
      <c r="B46" s="294">
        <v>4</v>
      </c>
      <c r="C46" s="495" t="s">
        <v>280</v>
      </c>
      <c r="D46" s="281" t="str">
        <f ca="1">IF(ISERROR(OFFSET('HARGA SATUAN'!$D$6,MATCH('RAB Standart'!C46,'HARGA SATUAN'!$C$7:$C$1509,0),0)),"",OFFSET('HARGA SATUAN'!$D$6,MATCH('RAB Standart'!C46,'HARGA SATUAN'!$C$7:$C$1509,0),0))</f>
        <v>HDW</v>
      </c>
      <c r="E46" s="282" t="str">
        <f ca="1">IF(B46="+","Unit",IF(ISERROR(OFFSET('HARGA SATUAN'!$E$6,MATCH('RAB Standart'!C46,'HARGA SATUAN'!$C$7:$C$1509,0),0)),"",OFFSET('HARGA SATUAN'!$E$6,MATCH('RAB Standart'!C46,'HARGA SATUAN'!$C$7:$C$1509,0),0)))</f>
        <v>Bh</v>
      </c>
      <c r="F46" s="282">
        <f>F42*2</f>
        <v>6</v>
      </c>
      <c r="G46" s="283">
        <f ca="1">IF(ISERROR(OFFSET('HARGA SATUAN'!$I$6,MATCH('RAB Standart'!C46,'HARGA SATUAN'!$C$7:$C$1509,0),0)),0,OFFSET('HARGA SATUAN'!$I$6,MATCH('RAB Standart'!C46,'HARGA SATUAN'!$C$7:$C$1509,0),0))</f>
        <v>40000</v>
      </c>
      <c r="H46" s="284">
        <f t="shared" ca="1" si="8"/>
        <v>0</v>
      </c>
      <c r="I46" s="284">
        <f t="shared" ca="1" si="9"/>
        <v>240000</v>
      </c>
      <c r="J46" s="284">
        <f t="shared" ca="1" si="10"/>
        <v>0</v>
      </c>
      <c r="K46" s="285">
        <f t="shared" ca="1" si="11"/>
        <v>240000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IF(AND(C47=0,#REF!=0,#REF!=0),"BLANKS",1)</f>
        <v>#REF!</v>
      </c>
      <c r="B47" s="496">
        <v>5</v>
      </c>
      <c r="C47" s="497" t="s">
        <v>16</v>
      </c>
      <c r="D47" s="281" t="str">
        <f ca="1">IF(ISERROR(OFFSET('HARGA SATUAN'!$D$6,MATCH('RAB Standart'!C47,'HARGA SATUAN'!$C$7:$C$1509,0),0)),"",OFFSET('HARGA SATUAN'!$D$6,MATCH('RAB Standart'!C47,'HARGA SATUAN'!$C$7:$C$1509,0),0))</f>
        <v>HDW</v>
      </c>
      <c r="E47" s="282" t="str">
        <f ca="1">IF(B47="+","Unit",IF(ISERROR(OFFSET('HARGA SATUAN'!$E$6,MATCH('RAB Standart'!C47,'HARGA SATUAN'!$C$7:$C$1509,0),0)),"",OFFSET('HARGA SATUAN'!$E$6,MATCH('RAB Standart'!C47,'HARGA SATUAN'!$C$7:$C$1509,0),0)))</f>
        <v>Bh</v>
      </c>
      <c r="F47" s="282">
        <f>F42*1</f>
        <v>3</v>
      </c>
      <c r="G47" s="283">
        <f ca="1">IF(ISERROR(OFFSET('HARGA SATUAN'!$I$6,MATCH('RAB Standart'!C47,'HARGA SATUAN'!$C$7:$C$1509,0),0)),0,OFFSET('HARGA SATUAN'!$I$6,MATCH('RAB Standart'!C47,'HARGA SATUAN'!$C$7:$C$1509,0),0))</f>
        <v>2500</v>
      </c>
      <c r="H47" s="284">
        <f t="shared" ca="1" si="8"/>
        <v>0</v>
      </c>
      <c r="I47" s="284">
        <f t="shared" ca="1" si="9"/>
        <v>7500</v>
      </c>
      <c r="J47" s="284">
        <f t="shared" ca="1" si="10"/>
        <v>0</v>
      </c>
      <c r="K47" s="285">
        <f t="shared" ca="1" si="11"/>
        <v>7500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IF(AND(C48=0,#REF!=0,#REF!=0),"BLANKS",1)</f>
        <v>#REF!</v>
      </c>
      <c r="B48" s="294">
        <v>6</v>
      </c>
      <c r="C48" s="495" t="s">
        <v>754</v>
      </c>
      <c r="D48" s="281" t="str">
        <f ca="1">IF(ISERROR(OFFSET('HARGA SATUAN'!$D$6,MATCH('RAB Standart'!C48,'HARGA SATUAN'!$C$7:$C$1509,0),0)),"",OFFSET('HARGA SATUAN'!$D$6,MATCH('RAB Standart'!C48,'HARGA SATUAN'!$C$7:$C$1509,0),0))</f>
        <v>JASA</v>
      </c>
      <c r="E48" s="282" t="str">
        <f ca="1">IF(B48="+","Unit",IF(ISERROR(OFFSET('HARGA SATUAN'!$E$6,MATCH('RAB Standart'!C48,'HARGA SATUAN'!$C$7:$C$1509,0),0)),"",OFFSET('HARGA SATUAN'!$E$6,MATCH('RAB Standart'!C48,'HARGA SATUAN'!$C$7:$C$1509,0),0)))</f>
        <v>Unit</v>
      </c>
      <c r="F48" s="282">
        <f>F42*1</f>
        <v>3</v>
      </c>
      <c r="G48" s="283">
        <f ca="1">IF(ISERROR(OFFSET('HARGA SATUAN'!$I$6,MATCH('RAB Standart'!C48,'HARGA SATUAN'!$C$7:$C$1509,0),0)),0,OFFSET('HARGA SATUAN'!$I$6,MATCH('RAB Standart'!C48,'HARGA SATUAN'!$C$7:$C$1509,0),0))</f>
        <v>36600</v>
      </c>
      <c r="H48" s="284">
        <f t="shared" ca="1" si="8"/>
        <v>0</v>
      </c>
      <c r="I48" s="284">
        <f t="shared" ca="1" si="9"/>
        <v>0</v>
      </c>
      <c r="J48" s="284">
        <f t="shared" ca="1" si="10"/>
        <v>109800</v>
      </c>
      <c r="K48" s="285">
        <f t="shared" ca="1" si="11"/>
        <v>109800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/>
      <c r="B49" s="294"/>
      <c r="C49" s="495"/>
      <c r="D49" s="281" t="str">
        <f ca="1">IF(ISERROR(OFFSET('HARGA SATUAN'!$D$6,MATCH('RAB Standart'!C49,'HARGA SATUAN'!$C$7:$C$1509,0),0)),"",OFFSET('HARGA SATUAN'!$D$6,MATCH('RAB Standart'!C49,'HARGA SATUAN'!$C$7:$C$1509,0),0))</f>
        <v/>
      </c>
      <c r="E49" s="282" t="str">
        <f ca="1">IF(B49="+","Unit",IF(ISERROR(OFFSET('HARGA SATUAN'!$E$6,MATCH('RAB Standart'!C49,'HARGA SATUAN'!$C$7:$C$1509,0),0)),"",OFFSET('HARGA SATUAN'!$E$6,MATCH('RAB Standart'!C49,'HARGA SATUAN'!$C$7:$C$1509,0),0)))</f>
        <v/>
      </c>
      <c r="F49" s="282"/>
      <c r="G49" s="283">
        <f ca="1">IF(ISERROR(OFFSET('HARGA SATUAN'!$I$6,MATCH('RAB Standart'!C49,'HARGA SATUAN'!$C$7:$C$1509,0),0)),0,OFFSET('HARGA SATUAN'!$I$6,MATCH('RAB Standart'!C49,'HARGA SATUAN'!$C$7:$C$1509,0),0))</f>
        <v>0</v>
      </c>
      <c r="H49" s="284">
        <f t="shared" ca="1" si="8"/>
        <v>0</v>
      </c>
      <c r="I49" s="284">
        <f t="shared" ca="1" si="9"/>
        <v>0</v>
      </c>
      <c r="J49" s="284">
        <f t="shared" ca="1" si="10"/>
        <v>0</v>
      </c>
      <c r="K49" s="285">
        <f t="shared" ca="1" si="11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 t="e">
        <f>IF(AND(C50=0,#REF!=0,#REF!=0),"BLANKS",1)</f>
        <v>#REF!</v>
      </c>
      <c r="B50" s="294" t="s">
        <v>1008</v>
      </c>
      <c r="C50" s="495" t="s">
        <v>1631</v>
      </c>
      <c r="D50" s="281" t="str">
        <f ca="1">IF(ISERROR(OFFSET('HARGA SATUAN'!$D$6,MATCH('RAB Standart'!C50,'HARGA SATUAN'!$C$7:$C$1509,0),0)),"",OFFSET('HARGA SATUAN'!$D$6,MATCH('RAB Standart'!C50,'HARGA SATUAN'!$C$7:$C$1509,0),0))</f>
        <v/>
      </c>
      <c r="E50" s="282" t="str">
        <f ca="1">IF(B50="+","Unit",IF(ISERROR(OFFSET('HARGA SATUAN'!$E$6,MATCH('RAB Standart'!C50,'HARGA SATUAN'!$C$7:$C$1509,0),0)),"",OFFSET('HARGA SATUAN'!$E$6,MATCH('RAB Standart'!C50,'HARGA SATUAN'!$C$7:$C$1509,0),0)))</f>
        <v>Unit</v>
      </c>
      <c r="F50" s="282">
        <v>3</v>
      </c>
      <c r="G50" s="283">
        <f ca="1">IF(ISERROR(OFFSET('HARGA SATUAN'!$I$6,MATCH('RAB Standart'!C50,'HARGA SATUAN'!$C$7:$C$1509,0),0)),0,OFFSET('HARGA SATUAN'!$I$6,MATCH('RAB Standart'!C50,'HARGA SATUAN'!$C$7:$C$1509,0),0))</f>
        <v>0</v>
      </c>
      <c r="H50" s="284">
        <f t="shared" ca="1" si="8"/>
        <v>0</v>
      </c>
      <c r="I50" s="284">
        <f t="shared" ca="1" si="9"/>
        <v>0</v>
      </c>
      <c r="J50" s="284">
        <f t="shared" ca="1" si="10"/>
        <v>0</v>
      </c>
      <c r="K50" s="285">
        <f t="shared" ca="1" si="11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IF(AND(C51=0,#REF!=0,#REF!=0),"BLANKS",1)</f>
        <v>#REF!</v>
      </c>
      <c r="B51" s="294">
        <v>1</v>
      </c>
      <c r="C51" s="495" t="s">
        <v>591</v>
      </c>
      <c r="D51" s="281" t="str">
        <f ca="1">IF(ISERROR(OFFSET('HARGA SATUAN'!$D$6,MATCH('RAB Standart'!C51,'HARGA SATUAN'!$C$7:$C$1509,0),0)),"",OFFSET('HARGA SATUAN'!$D$6,MATCH('RAB Standart'!C51,'HARGA SATUAN'!$C$7:$C$1509,0),0))</f>
        <v>HDW</v>
      </c>
      <c r="E51" s="282" t="str">
        <f ca="1">IF(B51="+","Unit",IF(ISERROR(OFFSET('HARGA SATUAN'!$E$6,MATCH('RAB Standart'!C51,'HARGA SATUAN'!$C$7:$C$1509,0),0)),"",OFFSET('HARGA SATUAN'!$E$6,MATCH('RAB Standart'!C51,'HARGA SATUAN'!$C$7:$C$1509,0),0)))</f>
        <v>Bh</v>
      </c>
      <c r="F51" s="282">
        <f>F50*1</f>
        <v>3</v>
      </c>
      <c r="G51" s="283">
        <f ca="1">IF(ISERROR(OFFSET('HARGA SATUAN'!$I$6,MATCH('RAB Standart'!C51,'HARGA SATUAN'!$C$7:$C$1509,0),0)),0,OFFSET('HARGA SATUAN'!$I$6,MATCH('RAB Standart'!C51,'HARGA SATUAN'!$C$7:$C$1509,0),0))</f>
        <v>120900</v>
      </c>
      <c r="H51" s="284">
        <f t="shared" ca="1" si="8"/>
        <v>0</v>
      </c>
      <c r="I51" s="284">
        <f t="shared" ca="1" si="9"/>
        <v>362700</v>
      </c>
      <c r="J51" s="284">
        <f t="shared" ca="1" si="10"/>
        <v>0</v>
      </c>
      <c r="K51" s="285">
        <f t="shared" ca="1" si="11"/>
        <v>362700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294">
        <v>2</v>
      </c>
      <c r="C52" s="495" t="s">
        <v>254</v>
      </c>
      <c r="D52" s="281" t="str">
        <f ca="1">IF(ISERROR(OFFSET('HARGA SATUAN'!$D$6,MATCH('RAB Standart'!C52,'HARGA SATUAN'!$C$7:$C$1509,0),0)),"",OFFSET('HARGA SATUAN'!$D$6,MATCH('RAB Standart'!C52,'HARGA SATUAN'!$C$7:$C$1509,0),0))</f>
        <v>HDW</v>
      </c>
      <c r="E52" s="282" t="str">
        <f ca="1">IF(B52="+","Unit",IF(ISERROR(OFFSET('HARGA SATUAN'!$E$6,MATCH('RAB Standart'!C52,'HARGA SATUAN'!$C$7:$C$1509,0),0)),"",OFFSET('HARGA SATUAN'!$E$6,MATCH('RAB Standart'!C52,'HARGA SATUAN'!$C$7:$C$1509,0),0)))</f>
        <v>Bh</v>
      </c>
      <c r="F52" s="282">
        <f>F50*1</f>
        <v>3</v>
      </c>
      <c r="G52" s="283">
        <f ca="1">IF(ISERROR(OFFSET('HARGA SATUAN'!$I$6,MATCH('RAB Standart'!C52,'HARGA SATUAN'!$C$7:$C$1509,0),0)),0,OFFSET('HARGA SATUAN'!$I$6,MATCH('RAB Standart'!C52,'HARGA SATUAN'!$C$7:$C$1509,0),0))</f>
        <v>135800</v>
      </c>
      <c r="H52" s="284">
        <f t="shared" ref="H52:H61" ca="1" si="12">IF(OR(D52="MDU",D52="MDU-KD"),(IF($O$3="RAB NON MDU","PLN KD",G52*F52)),0)</f>
        <v>0</v>
      </c>
      <c r="I52" s="284">
        <f t="shared" ref="I52:I61" ca="1" si="13">IF(D52="HDW",G52*F52,0)</f>
        <v>407400</v>
      </c>
      <c r="J52" s="284">
        <f t="shared" ref="J52:J61" ca="1" si="14">IF(D52="JASA",G52*F52,0)</f>
        <v>0</v>
      </c>
      <c r="K52" s="285">
        <f t="shared" ref="K52:K61" ca="1" si="15">SUM(H52:J52)</f>
        <v>407400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IF(AND(C53=0,C54=0,#REF!=0),"BLANKS",1)</f>
        <v>#REF!</v>
      </c>
      <c r="B53" s="294">
        <v>3</v>
      </c>
      <c r="C53" s="495" t="s">
        <v>207</v>
      </c>
      <c r="D53" s="281" t="str">
        <f ca="1">IF(ISERROR(OFFSET('HARGA SATUAN'!$D$6,MATCH('RAB Standart'!C53,'HARGA SATUAN'!$C$7:$C$1509,0),0)),"",OFFSET('HARGA SATUAN'!$D$6,MATCH('RAB Standart'!C53,'HARGA SATUAN'!$C$7:$C$1509,0),0))</f>
        <v>HDW</v>
      </c>
      <c r="E53" s="282" t="str">
        <f ca="1">IF(B53="+","Unit",IF(ISERROR(OFFSET('HARGA SATUAN'!$E$6,MATCH('RAB Standart'!C53,'HARGA SATUAN'!$C$7:$C$1509,0),0)),"",OFFSET('HARGA SATUAN'!$E$6,MATCH('RAB Standart'!C53,'HARGA SATUAN'!$C$7:$C$1509,0),0)))</f>
        <v>Bh</v>
      </c>
      <c r="F53" s="295">
        <f>F50*1</f>
        <v>3</v>
      </c>
      <c r="G53" s="283">
        <f ca="1">IF(ISERROR(OFFSET('HARGA SATUAN'!$I$6,MATCH('RAB Standart'!C53,'HARGA SATUAN'!$C$7:$C$1509,0),0)),0,OFFSET('HARGA SATUAN'!$I$6,MATCH('RAB Standart'!C53,'HARGA SATUAN'!$C$7:$C$1509,0),0))</f>
        <v>4500</v>
      </c>
      <c r="H53" s="284">
        <f t="shared" ca="1" si="12"/>
        <v>0</v>
      </c>
      <c r="I53" s="284">
        <f t="shared" ca="1" si="13"/>
        <v>13500</v>
      </c>
      <c r="J53" s="284">
        <f t="shared" ca="1" si="14"/>
        <v>0</v>
      </c>
      <c r="K53" s="285">
        <f t="shared" ca="1" si="15"/>
        <v>13500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 t="e">
        <f>IF(AND(C54=0,#REF!=0,#REF!=0),"BLANKS",1)</f>
        <v>#REF!</v>
      </c>
      <c r="B54" s="294">
        <v>4</v>
      </c>
      <c r="C54" s="495" t="s">
        <v>762</v>
      </c>
      <c r="D54" s="281" t="str">
        <f ca="1">IF(ISERROR(OFFSET('HARGA SATUAN'!$D$6,MATCH('RAB Standart'!C54,'HARGA SATUAN'!$C$7:$C$1509,0),0)),"",OFFSET('HARGA SATUAN'!$D$6,MATCH('RAB Standart'!C54,'HARGA SATUAN'!$C$7:$C$1509,0),0))</f>
        <v>JASA</v>
      </c>
      <c r="E54" s="282" t="str">
        <f ca="1">IF(B54="+","Unit",IF(ISERROR(OFFSET('HARGA SATUAN'!$E$6,MATCH('RAB Standart'!C54,'HARGA SATUAN'!$C$7:$C$1509,0),0)),"",OFFSET('HARGA SATUAN'!$E$6,MATCH('RAB Standart'!C54,'HARGA SATUAN'!$C$7:$C$1509,0),0)))</f>
        <v>Unit</v>
      </c>
      <c r="F54" s="282">
        <f>F50*1</f>
        <v>3</v>
      </c>
      <c r="G54" s="283">
        <f ca="1">IF(ISERROR(OFFSET('HARGA SATUAN'!$I$6,MATCH('RAB Standart'!C54,'HARGA SATUAN'!$C$7:$C$1509,0),0)),0,OFFSET('HARGA SATUAN'!$I$6,MATCH('RAB Standart'!C54,'HARGA SATUAN'!$C$7:$C$1509,0),0))</f>
        <v>55500</v>
      </c>
      <c r="H54" s="284">
        <f t="shared" ca="1" si="12"/>
        <v>0</v>
      </c>
      <c r="I54" s="284">
        <f t="shared" ca="1" si="13"/>
        <v>0</v>
      </c>
      <c r="J54" s="284">
        <f t="shared" ca="1" si="14"/>
        <v>166500</v>
      </c>
      <c r="K54" s="285">
        <f t="shared" ca="1" si="15"/>
        <v>166500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/>
      <c r="B55" s="294"/>
      <c r="C55" s="495"/>
      <c r="D55" s="281" t="str">
        <f ca="1">IF(ISERROR(OFFSET('HARGA SATUAN'!$D$6,MATCH('RAB Standart'!C55,'HARGA SATUAN'!$C$7:$C$1509,0),0)),"",OFFSET('HARGA SATUAN'!$D$6,MATCH('RAB Standart'!C55,'HARGA SATUAN'!$C$7:$C$1509,0),0))</f>
        <v/>
      </c>
      <c r="E55" s="282" t="str">
        <f ca="1">IF(B55="+","Unit",IF(ISERROR(OFFSET('HARGA SATUAN'!$E$6,MATCH('RAB Standart'!C55,'HARGA SATUAN'!$C$7:$C$1509,0),0)),"",OFFSET('HARGA SATUAN'!$E$6,MATCH('RAB Standart'!C55,'HARGA SATUAN'!$C$7:$C$1509,0),0)))</f>
        <v/>
      </c>
      <c r="F55" s="282"/>
      <c r="G55" s="283">
        <f ca="1">IF(ISERROR(OFFSET('HARGA SATUAN'!$I$6,MATCH('RAB Standart'!C55,'HARGA SATUAN'!$C$7:$C$1509,0),0)),0,OFFSET('HARGA SATUAN'!$I$6,MATCH('RAB Standart'!C55,'HARGA SATUAN'!$C$7:$C$1509,0),0))</f>
        <v>0</v>
      </c>
      <c r="H55" s="284">
        <f t="shared" ca="1" si="12"/>
        <v>0</v>
      </c>
      <c r="I55" s="284">
        <f t="shared" ca="1" si="13"/>
        <v>0</v>
      </c>
      <c r="J55" s="284">
        <f t="shared" ca="1" si="14"/>
        <v>0</v>
      </c>
      <c r="K55" s="285">
        <f t="shared" ca="1" si="15"/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IF(AND(C56=0,C57=0,#REF!=0),"BLANKS",1)</f>
        <v>#REF!</v>
      </c>
      <c r="B56" s="294" t="s">
        <v>1008</v>
      </c>
      <c r="C56" s="495" t="s">
        <v>1632</v>
      </c>
      <c r="D56" s="281" t="str">
        <f ca="1">IF(ISERROR(OFFSET('HARGA SATUAN'!$D$6,MATCH('RAB Standart'!C56,'HARGA SATUAN'!$C$7:$C$1509,0),0)),"",OFFSET('HARGA SATUAN'!$D$6,MATCH('RAB Standart'!C56,'HARGA SATUAN'!$C$7:$C$1509,0),0))</f>
        <v/>
      </c>
      <c r="E56" s="282" t="str">
        <f ca="1">IF(B56="+","Unit",IF(ISERROR(OFFSET('HARGA SATUAN'!$E$6,MATCH('RAB Standart'!C56,'HARGA SATUAN'!$C$7:$C$1509,0),0)),"",OFFSET('HARGA SATUAN'!$E$6,MATCH('RAB Standart'!C56,'HARGA SATUAN'!$C$7:$C$1509,0),0)))</f>
        <v>Unit</v>
      </c>
      <c r="F56" s="282">
        <v>3</v>
      </c>
      <c r="G56" s="283">
        <f ca="1">IF(ISERROR(OFFSET('HARGA SATUAN'!$I$6,MATCH('RAB Standart'!C56,'HARGA SATUAN'!$C$7:$C$1509,0),0)),0,OFFSET('HARGA SATUAN'!$I$6,MATCH('RAB Standart'!C56,'HARGA SATUAN'!$C$7:$C$1509,0),0))</f>
        <v>0</v>
      </c>
      <c r="H56" s="284">
        <f t="shared" ca="1" si="12"/>
        <v>0</v>
      </c>
      <c r="I56" s="284">
        <f t="shared" ca="1" si="13"/>
        <v>0</v>
      </c>
      <c r="J56" s="284">
        <f t="shared" ca="1" si="14"/>
        <v>0</v>
      </c>
      <c r="K56" s="285">
        <f t="shared" ca="1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496">
        <v>1</v>
      </c>
      <c r="C57" s="497" t="s">
        <v>20</v>
      </c>
      <c r="D57" s="281" t="str">
        <f ca="1">IF(ISERROR(OFFSET('HARGA SATUAN'!$D$6,MATCH('RAB Standart'!C57,'HARGA SATUAN'!$C$7:$C$1509,0),0)),"",OFFSET('HARGA SATUAN'!$D$6,MATCH('RAB Standart'!C57,'HARGA SATUAN'!$C$7:$C$1509,0),0))</f>
        <v>HDW</v>
      </c>
      <c r="E57" s="282" t="str">
        <f ca="1">IF(B57="+","Unit",IF(ISERROR(OFFSET('HARGA SATUAN'!$E$6,MATCH('RAB Standart'!C57,'HARGA SATUAN'!$C$7:$C$1509,0),0)),"",OFFSET('HARGA SATUAN'!$E$6,MATCH('RAB Standart'!C57,'HARGA SATUAN'!$C$7:$C$1509,0),0)))</f>
        <v>Bh</v>
      </c>
      <c r="F57" s="282">
        <f>F56*1</f>
        <v>3</v>
      </c>
      <c r="G57" s="283">
        <f ca="1">IF(ISERROR(OFFSET('HARGA SATUAN'!$I$6,MATCH('RAB Standart'!C57,'HARGA SATUAN'!$C$7:$C$1509,0),0)),0,OFFSET('HARGA SATUAN'!$I$6,MATCH('RAB Standart'!C57,'HARGA SATUAN'!$C$7:$C$1509,0),0))</f>
        <v>47459</v>
      </c>
      <c r="H57" s="284">
        <f t="shared" ca="1" si="12"/>
        <v>0</v>
      </c>
      <c r="I57" s="284">
        <f t="shared" ca="1" si="13"/>
        <v>142377</v>
      </c>
      <c r="J57" s="284">
        <f t="shared" ca="1" si="14"/>
        <v>0</v>
      </c>
      <c r="K57" s="285">
        <f t="shared" ca="1" si="15"/>
        <v>142377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IF(AND(C58=0,#REF!=0,#REF!=0),"BLANKS",1)</f>
        <v>#REF!</v>
      </c>
      <c r="B58" s="294">
        <v>2</v>
      </c>
      <c r="C58" s="495" t="s">
        <v>22</v>
      </c>
      <c r="D58" s="281" t="str">
        <f ca="1">IF(ISERROR(OFFSET('HARGA SATUAN'!$D$6,MATCH('RAB Standart'!C58,'HARGA SATUAN'!$C$7:$C$1509,0),0)),"",OFFSET('HARGA SATUAN'!$D$6,MATCH('RAB Standart'!C58,'HARGA SATUAN'!$C$7:$C$1509,0),0))</f>
        <v>HDW</v>
      </c>
      <c r="E58" s="282" t="str">
        <f ca="1">IF(B58="+","Unit",IF(ISERROR(OFFSET('HARGA SATUAN'!$E$6,MATCH('RAB Standart'!C58,'HARGA SATUAN'!$C$7:$C$1509,0),0)),"",OFFSET('HARGA SATUAN'!$E$6,MATCH('RAB Standart'!C58,'HARGA SATUAN'!$C$7:$C$1509,0),0)))</f>
        <v>Mtr</v>
      </c>
      <c r="F58" s="282">
        <f>F56*0.8</f>
        <v>2.4000000000000004</v>
      </c>
      <c r="G58" s="283">
        <f ca="1">IF(ISERROR(OFFSET('HARGA SATUAN'!$I$6,MATCH('RAB Standart'!C58,'HARGA SATUAN'!$C$7:$C$1509,0),0)),0,OFFSET('HARGA SATUAN'!$I$6,MATCH('RAB Standart'!C58,'HARGA SATUAN'!$C$7:$C$1509,0),0))</f>
        <v>30000</v>
      </c>
      <c r="H58" s="284">
        <f t="shared" ca="1" si="12"/>
        <v>0</v>
      </c>
      <c r="I58" s="284">
        <f t="shared" ca="1" si="13"/>
        <v>72000.000000000015</v>
      </c>
      <c r="J58" s="284">
        <f t="shared" ca="1" si="14"/>
        <v>0</v>
      </c>
      <c r="K58" s="285">
        <f t="shared" ca="1" si="15"/>
        <v>72000.000000000015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/>
      <c r="B59" s="294">
        <v>3</v>
      </c>
      <c r="C59" s="495" t="s">
        <v>23</v>
      </c>
      <c r="D59" s="281" t="str">
        <f ca="1">IF(ISERROR(OFFSET('HARGA SATUAN'!$D$6,MATCH('RAB Standart'!C59,'HARGA SATUAN'!$C$7:$C$1509,0),0)),"",OFFSET('HARGA SATUAN'!$D$6,MATCH('RAB Standart'!C59,'HARGA SATUAN'!$C$7:$C$1509,0),0))</f>
        <v>HDW</v>
      </c>
      <c r="E59" s="282" t="str">
        <f ca="1">IF(B59="+","Unit",IF(ISERROR(OFFSET('HARGA SATUAN'!$E$6,MATCH('RAB Standart'!C59,'HARGA SATUAN'!$C$7:$C$1509,0),0)),"",OFFSET('HARGA SATUAN'!$E$6,MATCH('RAB Standart'!C59,'HARGA SATUAN'!$C$7:$C$1509,0),0)))</f>
        <v>Bh</v>
      </c>
      <c r="F59" s="282">
        <f>F56*1</f>
        <v>3</v>
      </c>
      <c r="G59" s="283">
        <f ca="1">IF(ISERROR(OFFSET('HARGA SATUAN'!$I$6,MATCH('RAB Standart'!C59,'HARGA SATUAN'!$C$7:$C$1509,0),0)),0,OFFSET('HARGA SATUAN'!$I$6,MATCH('RAB Standart'!C59,'HARGA SATUAN'!$C$7:$C$1509,0),0))</f>
        <v>9500</v>
      </c>
      <c r="H59" s="284">
        <f t="shared" ca="1" si="12"/>
        <v>0</v>
      </c>
      <c r="I59" s="284">
        <f t="shared" ca="1" si="13"/>
        <v>28500</v>
      </c>
      <c r="J59" s="284">
        <f t="shared" ca="1" si="14"/>
        <v>0</v>
      </c>
      <c r="K59" s="285">
        <f t="shared" ca="1" si="15"/>
        <v>28500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 t="e">
        <f>IF(AND(C60=0,#REF!=0,#REF!=0),"BLANKS",1)</f>
        <v>#REF!</v>
      </c>
      <c r="B60" s="294">
        <v>4</v>
      </c>
      <c r="C60" s="495" t="s">
        <v>731</v>
      </c>
      <c r="D60" s="281" t="str">
        <f ca="1">IF(ISERROR(OFFSET('HARGA SATUAN'!$D$6,MATCH('RAB Standart'!C60,'HARGA SATUAN'!$C$7:$C$1509,0),0)),"",OFFSET('HARGA SATUAN'!$D$6,MATCH('RAB Standart'!C60,'HARGA SATUAN'!$C$7:$C$1509,0),0))</f>
        <v>JASA</v>
      </c>
      <c r="E60" s="282" t="str">
        <f ca="1">IF(B60="+","Unit",IF(ISERROR(OFFSET('HARGA SATUAN'!$E$6,MATCH('RAB Standart'!C60,'HARGA SATUAN'!$C$7:$C$1509,0),0)),"",OFFSET('HARGA SATUAN'!$E$6,MATCH('RAB Standart'!C60,'HARGA SATUAN'!$C$7:$C$1509,0),0)))</f>
        <v>Unit</v>
      </c>
      <c r="F60" s="282">
        <f>F56*1</f>
        <v>3</v>
      </c>
      <c r="G60" s="283">
        <f ca="1">IF(ISERROR(OFFSET('HARGA SATUAN'!$I$6,MATCH('RAB Standart'!C60,'HARGA SATUAN'!$C$7:$C$1509,0),0)),0,OFFSET('HARGA SATUAN'!$I$6,MATCH('RAB Standart'!C60,'HARGA SATUAN'!$C$7:$C$1509,0),0))</f>
        <v>16200</v>
      </c>
      <c r="H60" s="284">
        <f t="shared" ca="1" si="12"/>
        <v>0</v>
      </c>
      <c r="I60" s="284">
        <f t="shared" ca="1" si="13"/>
        <v>0</v>
      </c>
      <c r="J60" s="284">
        <f t="shared" ca="1" si="14"/>
        <v>48600</v>
      </c>
      <c r="K60" s="285">
        <f t="shared" ca="1" si="15"/>
        <v>48600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294"/>
      <c r="C61" s="495"/>
      <c r="D61" s="281" t="str">
        <f ca="1">IF(ISERROR(OFFSET('HARGA SATUAN'!$D$6,MATCH('RAB Standart'!C61,'HARGA SATUAN'!$C$7:$C$1509,0),0)),"",OFFSET('HARGA SATUAN'!$D$6,MATCH('RAB Standart'!C61,'HARGA SATUAN'!$C$7:$C$1509,0),0))</f>
        <v/>
      </c>
      <c r="E61" s="282" t="str">
        <f ca="1">IF(B61="+","Unit",IF(ISERROR(OFFSET('HARGA SATUAN'!$E$6,MATCH('RAB Standart'!C61,'HARGA SATUAN'!$C$7:$C$1509,0),0)),"",OFFSET('HARGA SATUAN'!$E$6,MATCH('RAB Standart'!C61,'HARGA SATUAN'!$C$7:$C$1509,0),0)))</f>
        <v/>
      </c>
      <c r="F61" s="282"/>
      <c r="G61" s="283">
        <f ca="1">IF(ISERROR(OFFSET('HARGA SATUAN'!$I$6,MATCH('RAB Standart'!C61,'HARGA SATUAN'!$C$7:$C$1509,0),0)),0,OFFSET('HARGA SATUAN'!$I$6,MATCH('RAB Standart'!C61,'HARGA SATUAN'!$C$7:$C$1509,0),0))</f>
        <v>0</v>
      </c>
      <c r="H61" s="284">
        <f t="shared" ca="1" si="12"/>
        <v>0</v>
      </c>
      <c r="I61" s="284">
        <f t="shared" ca="1" si="13"/>
        <v>0</v>
      </c>
      <c r="J61" s="284">
        <f t="shared" ca="1" si="14"/>
        <v>0</v>
      </c>
      <c r="K61" s="285">
        <f t="shared" ca="1" si="15"/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IF(AND(C62=0,#REF!=0,#REF!=0),"BLANKS",1)</f>
        <v>#REF!</v>
      </c>
      <c r="B62" s="294" t="s">
        <v>1008</v>
      </c>
      <c r="C62" s="495" t="s">
        <v>1633</v>
      </c>
      <c r="D62" s="281" t="str">
        <f ca="1">IF(ISERROR(OFFSET('HARGA SATUAN'!$D$6,MATCH('RAB Standart'!C62,'HARGA SATUAN'!$C$7:$C$1509,0),0)),"",OFFSET('HARGA SATUAN'!$D$6,MATCH('RAB Standart'!C62,'HARGA SATUAN'!$C$7:$C$1509,0),0))</f>
        <v/>
      </c>
      <c r="E62" s="282" t="str">
        <f ca="1">IF(B62="+","Unit",IF(ISERROR(OFFSET('HARGA SATUAN'!$E$6,MATCH('RAB Standart'!C62,'HARGA SATUAN'!$C$7:$C$1509,0),0)),"",OFFSET('HARGA SATUAN'!$E$6,MATCH('RAB Standart'!C62,'HARGA SATUAN'!$C$7:$C$1509,0),0)))</f>
        <v>Unit</v>
      </c>
      <c r="F62" s="282">
        <v>3</v>
      </c>
      <c r="G62" s="283">
        <f ca="1">IF(ISERROR(OFFSET('HARGA SATUAN'!$I$6,MATCH('RAB Standart'!C62,'HARGA SATUAN'!$C$7:$C$1509,0),0)),0,OFFSET('HARGA SATUAN'!$I$6,MATCH('RAB Standart'!C62,'HARGA SATUAN'!$C$7:$C$1509,0),0))</f>
        <v>0</v>
      </c>
      <c r="H62" s="284">
        <f t="shared" ca="1" si="8"/>
        <v>0</v>
      </c>
      <c r="I62" s="284">
        <f t="shared" ca="1" si="9"/>
        <v>0</v>
      </c>
      <c r="J62" s="284">
        <f t="shared" ca="1" si="10"/>
        <v>0</v>
      </c>
      <c r="K62" s="285">
        <f t="shared" ca="1" si="11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IF(AND(C63=0,C64=0,#REF!=0),"BLANKS",1)</f>
        <v>#REF!</v>
      </c>
      <c r="B63" s="294">
        <v>1</v>
      </c>
      <c r="C63" s="495" t="s">
        <v>20</v>
      </c>
      <c r="D63" s="281" t="str">
        <f ca="1">IF(ISERROR(OFFSET('HARGA SATUAN'!$D$6,MATCH('RAB Standart'!C63,'HARGA SATUAN'!$C$7:$C$1509,0),0)),"",OFFSET('HARGA SATUAN'!$D$6,MATCH('RAB Standart'!C63,'HARGA SATUAN'!$C$7:$C$1509,0),0))</f>
        <v>HDW</v>
      </c>
      <c r="E63" s="282" t="str">
        <f ca="1">IF(B63="+","Unit",IF(ISERROR(OFFSET('HARGA SATUAN'!$E$6,MATCH('RAB Standart'!C63,'HARGA SATUAN'!$C$7:$C$1509,0),0)),"",OFFSET('HARGA SATUAN'!$E$6,MATCH('RAB Standart'!C63,'HARGA SATUAN'!$C$7:$C$1509,0),0)))</f>
        <v>Bh</v>
      </c>
      <c r="F63" s="282">
        <f>F62*1</f>
        <v>3</v>
      </c>
      <c r="G63" s="283">
        <f ca="1">IF(ISERROR(OFFSET('HARGA SATUAN'!$I$6,MATCH('RAB Standart'!C63,'HARGA SATUAN'!$C$7:$C$1509,0),0)),0,OFFSET('HARGA SATUAN'!$I$6,MATCH('RAB Standart'!C63,'HARGA SATUAN'!$C$7:$C$1509,0),0))</f>
        <v>47459</v>
      </c>
      <c r="H63" s="284">
        <f t="shared" ca="1" si="8"/>
        <v>0</v>
      </c>
      <c r="I63" s="284">
        <f t="shared" ca="1" si="9"/>
        <v>142377</v>
      </c>
      <c r="J63" s="284">
        <f t="shared" ca="1" si="10"/>
        <v>0</v>
      </c>
      <c r="K63" s="285">
        <f t="shared" ca="1" si="11"/>
        <v>142377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 t="e">
        <f>IF(AND(C64=0,#REF!=0,#REF!=0),"BLANKS",1)</f>
        <v>#REF!</v>
      </c>
      <c r="B64" s="294">
        <v>2</v>
      </c>
      <c r="C64" s="495" t="s">
        <v>22</v>
      </c>
      <c r="D64" s="281" t="str">
        <f ca="1">IF(ISERROR(OFFSET('HARGA SATUAN'!$D$6,MATCH('RAB Standart'!C64,'HARGA SATUAN'!$C$7:$C$1509,0),0)),"",OFFSET('HARGA SATUAN'!$D$6,MATCH('RAB Standart'!C64,'HARGA SATUAN'!$C$7:$C$1509,0),0))</f>
        <v>HDW</v>
      </c>
      <c r="E64" s="282" t="str">
        <f ca="1">IF(B64="+","Unit",IF(ISERROR(OFFSET('HARGA SATUAN'!$E$6,MATCH('RAB Standart'!C64,'HARGA SATUAN'!$C$7:$C$1509,0),0)),"",OFFSET('HARGA SATUAN'!$E$6,MATCH('RAB Standart'!C64,'HARGA SATUAN'!$C$7:$C$1509,0),0)))</f>
        <v>Mtr</v>
      </c>
      <c r="F64" s="282">
        <f>F62*1</f>
        <v>3</v>
      </c>
      <c r="G64" s="283">
        <f ca="1">IF(ISERROR(OFFSET('HARGA SATUAN'!$I$6,MATCH('RAB Standart'!C64,'HARGA SATUAN'!$C$7:$C$1509,0),0)),0,OFFSET('HARGA SATUAN'!$I$6,MATCH('RAB Standart'!C64,'HARGA SATUAN'!$C$7:$C$1509,0),0))</f>
        <v>30000</v>
      </c>
      <c r="H64" s="284">
        <f t="shared" ca="1" si="8"/>
        <v>0</v>
      </c>
      <c r="I64" s="284">
        <f t="shared" ca="1" si="9"/>
        <v>90000</v>
      </c>
      <c r="J64" s="284">
        <f t="shared" ca="1" si="10"/>
        <v>0</v>
      </c>
      <c r="K64" s="285">
        <f t="shared" ca="1" si="11"/>
        <v>90000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/>
      <c r="B65" s="294">
        <v>3</v>
      </c>
      <c r="C65" s="495" t="s">
        <v>23</v>
      </c>
      <c r="D65" s="281" t="str">
        <f ca="1">IF(ISERROR(OFFSET('HARGA SATUAN'!$D$6,MATCH('RAB Standart'!C65,'HARGA SATUAN'!$C$7:$C$1509,0),0)),"",OFFSET('HARGA SATUAN'!$D$6,MATCH('RAB Standart'!C65,'HARGA SATUAN'!$C$7:$C$1509,0),0))</f>
        <v>HDW</v>
      </c>
      <c r="E65" s="282" t="str">
        <f ca="1">IF(B65="+","Unit",IF(ISERROR(OFFSET('HARGA SATUAN'!$E$6,MATCH('RAB Standart'!C65,'HARGA SATUAN'!$C$7:$C$1509,0),0)),"",OFFSET('HARGA SATUAN'!$E$6,MATCH('RAB Standart'!C65,'HARGA SATUAN'!$C$7:$C$1509,0),0)))</f>
        <v>Bh</v>
      </c>
      <c r="F65" s="282">
        <f>F62*1</f>
        <v>3</v>
      </c>
      <c r="G65" s="283">
        <f ca="1">IF(ISERROR(OFFSET('HARGA SATUAN'!$I$6,MATCH('RAB Standart'!C65,'HARGA SATUAN'!$C$7:$C$1509,0),0)),0,OFFSET('HARGA SATUAN'!$I$6,MATCH('RAB Standart'!C65,'HARGA SATUAN'!$C$7:$C$1509,0),0))</f>
        <v>9500</v>
      </c>
      <c r="H65" s="284">
        <f t="shared" ca="1" si="8"/>
        <v>0</v>
      </c>
      <c r="I65" s="284">
        <f t="shared" ca="1" si="9"/>
        <v>28500</v>
      </c>
      <c r="J65" s="284">
        <f t="shared" ca="1" si="10"/>
        <v>0</v>
      </c>
      <c r="K65" s="285">
        <f t="shared" ca="1" si="11"/>
        <v>28500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294">
        <v>4</v>
      </c>
      <c r="C66" s="495" t="s">
        <v>732</v>
      </c>
      <c r="D66" s="281" t="str">
        <f ca="1">IF(ISERROR(OFFSET('HARGA SATUAN'!$D$6,MATCH('RAB Standart'!C66,'HARGA SATUAN'!$C$7:$C$1509,0),0)),"",OFFSET('HARGA SATUAN'!$D$6,MATCH('RAB Standart'!C66,'HARGA SATUAN'!$C$7:$C$1509,0),0))</f>
        <v>JASA</v>
      </c>
      <c r="E66" s="282" t="str">
        <f ca="1">IF(B66="+","Unit",IF(ISERROR(OFFSET('HARGA SATUAN'!$E$6,MATCH('RAB Standart'!C66,'HARGA SATUAN'!$C$7:$C$1509,0),0)),"",OFFSET('HARGA SATUAN'!$E$6,MATCH('RAB Standart'!C66,'HARGA SATUAN'!$C$7:$C$1509,0),0)))</f>
        <v>Unit</v>
      </c>
      <c r="F66" s="282">
        <f>F62*1</f>
        <v>3</v>
      </c>
      <c r="G66" s="283">
        <f ca="1">IF(ISERROR(OFFSET('HARGA SATUAN'!$I$6,MATCH('RAB Standart'!C66,'HARGA SATUAN'!$C$7:$C$1509,0),0)),0,OFFSET('HARGA SATUAN'!$I$6,MATCH('RAB Standart'!C66,'HARGA SATUAN'!$C$7:$C$1509,0),0))</f>
        <v>21200</v>
      </c>
      <c r="H66" s="284">
        <f t="shared" ca="1" si="8"/>
        <v>0</v>
      </c>
      <c r="I66" s="284">
        <f t="shared" ca="1" si="9"/>
        <v>0</v>
      </c>
      <c r="J66" s="284">
        <f t="shared" ca="1" si="10"/>
        <v>63600</v>
      </c>
      <c r="K66" s="285">
        <f t="shared" ca="1" si="11"/>
        <v>63600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88" customFormat="1">
      <c r="A67" s="259"/>
      <c r="B67" s="525"/>
      <c r="C67" s="492"/>
      <c r="D67" s="281" t="str">
        <f ca="1">IF(ISERROR(OFFSET('HARGA SATUAN'!$D$6,MATCH('RAB Standart'!C67,'HARGA SATUAN'!$C$7:$C$1509,0),0)),"",OFFSET('HARGA SATUAN'!$D$6,MATCH('RAB Standart'!C67,'HARGA SATUAN'!$C$7:$C$1509,0),0))</f>
        <v/>
      </c>
      <c r="E67" s="282" t="str">
        <f ca="1">IF(B67="+","Unit",IF(ISERROR(OFFSET('HARGA SATUAN'!$E$6,MATCH('RAB Standart'!C67,'HARGA SATUAN'!$C$7:$C$1509,0),0)),"",OFFSET('HARGA SATUAN'!$E$6,MATCH('RAB Standart'!C67,'HARGA SATUAN'!$C$7:$C$1509,0),0)))</f>
        <v/>
      </c>
      <c r="F67" s="295"/>
      <c r="G67" s="283"/>
      <c r="H67" s="284"/>
      <c r="I67" s="284"/>
      <c r="J67" s="284"/>
      <c r="K67" s="285"/>
      <c r="L67" s="325"/>
      <c r="M67" s="325"/>
      <c r="N67" s="289"/>
      <c r="O67" s="267"/>
      <c r="P67" s="267"/>
      <c r="Q67" s="267"/>
    </row>
    <row r="68" spans="1:22" s="290" customFormat="1" ht="14.25" customHeight="1">
      <c r="A68" s="259"/>
      <c r="B68" s="292" t="s">
        <v>1622</v>
      </c>
      <c r="C68" s="293" t="s">
        <v>1665</v>
      </c>
      <c r="D68" s="281" t="str">
        <f ca="1">IF(ISERROR(OFFSET('HARGA SATUAN'!$D$6,MATCH('RAB Standart'!C68,'HARGA SATUAN'!$C$7:$C$1509,0),0)),"",OFFSET('HARGA SATUAN'!$D$6,MATCH('RAB Standart'!C68,'HARGA SATUAN'!$C$7:$C$1509,0),0))</f>
        <v/>
      </c>
      <c r="E68" s="282" t="str">
        <f ca="1">IF(B68="+","Unit",IF(ISERROR(OFFSET('HARGA SATUAN'!$E$6,MATCH('RAB Standart'!C68,'HARGA SATUAN'!$C$7:$C$1509,0),0)),"",OFFSET('HARGA SATUAN'!$E$6,MATCH('RAB Standart'!C68,'HARGA SATUAN'!$C$7:$C$1509,0),0)))</f>
        <v/>
      </c>
      <c r="F68" s="291"/>
      <c r="G68" s="283">
        <f ca="1">IF(ISERROR(OFFSET('HARGA SATUAN'!$I$6,MATCH('RAB Standart'!C68,'HARGA SATUAN'!$C$7:$C$1509,0),0)),0,OFFSET('HARGA SATUAN'!$I$6,MATCH('RAB Standart'!C68,'HARGA SATUAN'!$C$7:$C$1509,0),0))</f>
        <v>0</v>
      </c>
      <c r="H68" s="284">
        <f t="shared" ref="H68:H134" ca="1" si="16">IF(OR(D68="MDU",D68="MDU-KD"),(IF($O$3="RAB NON MDU","PLN KD",G68*F68)),0)</f>
        <v>0</v>
      </c>
      <c r="I68" s="284">
        <f t="shared" ref="I68:I134" ca="1" si="17">IF(D68="HDW",G68*F68,0)</f>
        <v>0</v>
      </c>
      <c r="J68" s="284">
        <f t="shared" ref="J68:J134" ca="1" si="18">IF(D68="JASA",G68*F68,0)</f>
        <v>0</v>
      </c>
      <c r="K68" s="285">
        <f t="shared" ref="K68:K134" ca="1" si="19">SUM(H68:J68)</f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 ht="14.25" customHeight="1">
      <c r="A69" s="259"/>
      <c r="B69" s="294" t="s">
        <v>1008</v>
      </c>
      <c r="C69" s="495" t="s">
        <v>1667</v>
      </c>
      <c r="D69" s="281" t="str">
        <f ca="1">IF(ISERROR(OFFSET('HARGA SATUAN'!$D$6,MATCH('RAB Standart'!C69,'HARGA SATUAN'!$C$7:$C$1509,0),0)),"",OFFSET('HARGA SATUAN'!$D$6,MATCH('RAB Standart'!C69,'HARGA SATUAN'!$C$7:$C$1509,0),0))</f>
        <v/>
      </c>
      <c r="E69" s="282" t="str">
        <f ca="1">IF(B69="+","Unit",IF(ISERROR(OFFSET('HARGA SATUAN'!$E$6,MATCH('RAB Standart'!C69,'HARGA SATUAN'!$C$7:$C$1509,0),0)),"",OFFSET('HARGA SATUAN'!$E$6,MATCH('RAB Standart'!C69,'HARGA SATUAN'!$C$7:$C$1509,0),0)))</f>
        <v>Unit</v>
      </c>
      <c r="F69" s="291">
        <v>1</v>
      </c>
      <c r="G69" s="283">
        <f ca="1">IF(ISERROR(OFFSET('HARGA SATUAN'!$I$6,MATCH('RAB Standart'!C69,'HARGA SATUAN'!$C$7:$C$1509,0),0)),0,OFFSET('HARGA SATUAN'!$I$6,MATCH('RAB Standart'!C69,'HARGA SATUAN'!$C$7:$C$1509,0),0))</f>
        <v>0</v>
      </c>
      <c r="H69" s="284">
        <f t="shared" ca="1" si="16"/>
        <v>0</v>
      </c>
      <c r="I69" s="284">
        <f t="shared" ca="1" si="17"/>
        <v>0</v>
      </c>
      <c r="J69" s="284">
        <f t="shared" ca="1" si="18"/>
        <v>0</v>
      </c>
      <c r="K69" s="285">
        <f t="shared" ca="1" si="19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 ht="14.25" customHeight="1">
      <c r="A70" s="259"/>
      <c r="B70" s="294">
        <v>1</v>
      </c>
      <c r="C70" s="495" t="s">
        <v>1171</v>
      </c>
      <c r="D70" s="281" t="str">
        <f ca="1">IF(ISERROR(OFFSET('HARGA SATUAN'!$D$6,MATCH('RAB Standart'!C70,'HARGA SATUAN'!$C$7:$C$1509,0),0)),"",OFFSET('HARGA SATUAN'!$D$6,MATCH('RAB Standart'!C70,'HARGA SATUAN'!$C$7:$C$1509,0),0))</f>
        <v>MDU-KD</v>
      </c>
      <c r="E70" s="282" t="str">
        <f ca="1">IF(B70="+","Unit",IF(ISERROR(OFFSET('HARGA SATUAN'!$E$6,MATCH('RAB Standart'!C70,'HARGA SATUAN'!$C$7:$C$1509,0),0)),"",OFFSET('HARGA SATUAN'!$E$6,MATCH('RAB Standart'!C70,'HARGA SATUAN'!$C$7:$C$1509,0),0)))</f>
        <v>Bh</v>
      </c>
      <c r="F70" s="291">
        <v>1</v>
      </c>
      <c r="G70" s="283">
        <f ca="1">IF(ISERROR(OFFSET('HARGA SATUAN'!$I$6,MATCH('RAB Standart'!C70,'HARGA SATUAN'!$C$7:$C$1509,0),0)),0,OFFSET('HARGA SATUAN'!$I$6,MATCH('RAB Standart'!C70,'HARGA SATUAN'!$C$7:$C$1509,0),0))</f>
        <v>1497600</v>
      </c>
      <c r="H70" s="284">
        <f t="shared" ca="1" si="16"/>
        <v>1497600</v>
      </c>
      <c r="I70" s="284">
        <f t="shared" ca="1" si="17"/>
        <v>0</v>
      </c>
      <c r="J70" s="284">
        <f t="shared" ca="1" si="18"/>
        <v>0</v>
      </c>
      <c r="K70" s="285">
        <f t="shared" ca="1" si="19"/>
        <v>1497600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 ht="14.25" customHeight="1">
      <c r="A71" s="259"/>
      <c r="B71" s="294">
        <v>2</v>
      </c>
      <c r="C71" s="495" t="s">
        <v>516</v>
      </c>
      <c r="D71" s="281" t="str">
        <f ca="1">IF(ISERROR(OFFSET('HARGA SATUAN'!$D$6,MATCH('RAB Standart'!C71,'HARGA SATUAN'!$C$7:$C$1509,0),0)),"",OFFSET('HARGA SATUAN'!$D$6,MATCH('RAB Standart'!C71,'HARGA SATUAN'!$C$7:$C$1509,0),0))</f>
        <v>MDU-KD</v>
      </c>
      <c r="E71" s="282" t="str">
        <f ca="1">IF(B71="+","Unit",IF(ISERROR(OFFSET('HARGA SATUAN'!$E$6,MATCH('RAB Standart'!C71,'HARGA SATUAN'!$C$7:$C$1509,0),0)),"",OFFSET('HARGA SATUAN'!$E$6,MATCH('RAB Standart'!C71,'HARGA SATUAN'!$C$7:$C$1509,0),0)))</f>
        <v>Unit</v>
      </c>
      <c r="F71" s="291">
        <v>1</v>
      </c>
      <c r="G71" s="283">
        <f ca="1">IF(ISERROR(OFFSET('HARGA SATUAN'!$I$6,MATCH('RAB Standart'!C71,'HARGA SATUAN'!$C$7:$C$1509,0),0)),0,OFFSET('HARGA SATUAN'!$I$6,MATCH('RAB Standart'!C71,'HARGA SATUAN'!$C$7:$C$1509,0),0))</f>
        <v>3050000</v>
      </c>
      <c r="H71" s="284">
        <f t="shared" ca="1" si="16"/>
        <v>3050000</v>
      </c>
      <c r="I71" s="284">
        <f t="shared" ca="1" si="17"/>
        <v>0</v>
      </c>
      <c r="J71" s="284">
        <f t="shared" ca="1" si="18"/>
        <v>0</v>
      </c>
      <c r="K71" s="285">
        <f t="shared" ca="1" si="19"/>
        <v>3050000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 ht="14.25" customHeight="1">
      <c r="A72" s="259"/>
      <c r="B72" s="294">
        <v>3</v>
      </c>
      <c r="C72" s="495" t="s">
        <v>1115</v>
      </c>
      <c r="D72" s="281" t="str">
        <f ca="1">IF(ISERROR(OFFSET('HARGA SATUAN'!$D$6,MATCH('RAB Standart'!C72,'HARGA SATUAN'!$C$7:$C$1509,0),0)),"",OFFSET('HARGA SATUAN'!$D$6,MATCH('RAB Standart'!C72,'HARGA SATUAN'!$C$7:$C$1509,0),0))</f>
        <v>HDW</v>
      </c>
      <c r="E72" s="282" t="str">
        <f ca="1">IF(B72="+","Unit",IF(ISERROR(OFFSET('HARGA SATUAN'!$E$6,MATCH('RAB Standart'!C72,'HARGA SATUAN'!$C$7:$C$1509,0),0)),"",OFFSET('HARGA SATUAN'!$E$6,MATCH('RAB Standart'!C72,'HARGA SATUAN'!$C$7:$C$1509,0),0)))</f>
        <v>Unit</v>
      </c>
      <c r="F72" s="291">
        <v>1</v>
      </c>
      <c r="G72" s="283">
        <f ca="1">IF(ISERROR(OFFSET('HARGA SATUAN'!$I$6,MATCH('RAB Standart'!C72,'HARGA SATUAN'!$C$7:$C$1509,0),0)),0,OFFSET('HARGA SATUAN'!$I$6,MATCH('RAB Standart'!C72,'HARGA SATUAN'!$C$7:$C$1509,0),0))</f>
        <v>1113900</v>
      </c>
      <c r="H72" s="284">
        <f t="shared" ca="1" si="16"/>
        <v>0</v>
      </c>
      <c r="I72" s="284">
        <f t="shared" ca="1" si="17"/>
        <v>1113900</v>
      </c>
      <c r="J72" s="284">
        <f t="shared" ca="1" si="18"/>
        <v>0</v>
      </c>
      <c r="K72" s="285">
        <f t="shared" ca="1" si="19"/>
        <v>1113900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 ht="14.25" customHeight="1">
      <c r="A73" s="259"/>
      <c r="B73" s="294">
        <v>4</v>
      </c>
      <c r="C73" s="495" t="s">
        <v>156</v>
      </c>
      <c r="D73" s="281" t="str">
        <f ca="1">IF(ISERROR(OFFSET('HARGA SATUAN'!$D$6,MATCH('RAB Standart'!C73,'HARGA SATUAN'!$C$7:$C$1509,0),0)),"",OFFSET('HARGA SATUAN'!$D$6,MATCH('RAB Standart'!C73,'HARGA SATUAN'!$C$7:$C$1509,0),0))</f>
        <v>HDW</v>
      </c>
      <c r="E73" s="282" t="str">
        <f ca="1">IF(B73="+","Unit",IF(ISERROR(OFFSET('HARGA SATUAN'!$E$6,MATCH('RAB Standart'!C73,'HARGA SATUAN'!$C$7:$C$1509,0),0)),"",OFFSET('HARGA SATUAN'!$E$6,MATCH('RAB Standart'!C73,'HARGA SATUAN'!$C$7:$C$1509,0),0)))</f>
        <v>Bh</v>
      </c>
      <c r="F73" s="291">
        <v>4</v>
      </c>
      <c r="G73" s="283">
        <f ca="1">IF(ISERROR(OFFSET('HARGA SATUAN'!$I$6,MATCH('RAB Standart'!C73,'HARGA SATUAN'!$C$7:$C$1509,0),0)),0,OFFSET('HARGA SATUAN'!$I$6,MATCH('RAB Standart'!C73,'HARGA SATUAN'!$C$7:$C$1509,0),0))</f>
        <v>7938</v>
      </c>
      <c r="H73" s="284">
        <f t="shared" ca="1" si="16"/>
        <v>0</v>
      </c>
      <c r="I73" s="284">
        <f t="shared" ca="1" si="17"/>
        <v>31752</v>
      </c>
      <c r="J73" s="284">
        <f t="shared" ca="1" si="18"/>
        <v>0</v>
      </c>
      <c r="K73" s="285">
        <f t="shared" ca="1" si="19"/>
        <v>31752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 ht="14.25" customHeight="1">
      <c r="A74" s="259"/>
      <c r="B74" s="294">
        <v>5</v>
      </c>
      <c r="C74" s="495" t="s">
        <v>587</v>
      </c>
      <c r="D74" s="281" t="str">
        <f ca="1">IF(ISERROR(OFFSET('HARGA SATUAN'!$D$6,MATCH('RAB Standart'!C74,'HARGA SATUAN'!$C$7:$C$1509,0),0)),"",OFFSET('HARGA SATUAN'!$D$6,MATCH('RAB Standart'!C74,'HARGA SATUAN'!$C$7:$C$1509,0),0))</f>
        <v>HDW</v>
      </c>
      <c r="E74" s="282" t="str">
        <f ca="1">IF(B74="+","Unit",IF(ISERROR(OFFSET('HARGA SATUAN'!$E$6,MATCH('RAB Standart'!C74,'HARGA SATUAN'!$C$7:$C$1509,0),0)),"",OFFSET('HARGA SATUAN'!$E$6,MATCH('RAB Standart'!C74,'HARGA SATUAN'!$C$7:$C$1509,0),0)))</f>
        <v>Bh</v>
      </c>
      <c r="F74" s="291">
        <v>1</v>
      </c>
      <c r="G74" s="283">
        <f ca="1">IF(ISERROR(OFFSET('HARGA SATUAN'!$I$6,MATCH('RAB Standart'!C74,'HARGA SATUAN'!$C$7:$C$1509,0),0)),0,OFFSET('HARGA SATUAN'!$I$6,MATCH('RAB Standart'!C74,'HARGA SATUAN'!$C$7:$C$1509,0),0))</f>
        <v>380500</v>
      </c>
      <c r="H74" s="284">
        <f t="shared" ca="1" si="16"/>
        <v>0</v>
      </c>
      <c r="I74" s="284">
        <f t="shared" ca="1" si="17"/>
        <v>380500</v>
      </c>
      <c r="J74" s="284">
        <f t="shared" ca="1" si="18"/>
        <v>0</v>
      </c>
      <c r="K74" s="285">
        <f t="shared" ca="1" si="19"/>
        <v>380500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 ht="14.25" customHeight="1">
      <c r="A75" s="259"/>
      <c r="B75" s="294">
        <v>6</v>
      </c>
      <c r="C75" s="495" t="s">
        <v>241</v>
      </c>
      <c r="D75" s="281" t="str">
        <f ca="1">IF(ISERROR(OFFSET('HARGA SATUAN'!$D$6,MATCH('RAB Standart'!C75,'HARGA SATUAN'!$C$7:$C$1509,0),0)),"",OFFSET('HARGA SATUAN'!$D$6,MATCH('RAB Standart'!C75,'HARGA SATUAN'!$C$7:$C$1509,0),0))</f>
        <v>HDW</v>
      </c>
      <c r="E75" s="282" t="str">
        <f ca="1">IF(B75="+","Unit",IF(ISERROR(OFFSET('HARGA SATUAN'!$E$6,MATCH('RAB Standart'!C75,'HARGA SATUAN'!$C$7:$C$1509,0),0)),"",OFFSET('HARGA SATUAN'!$E$6,MATCH('RAB Standart'!C75,'HARGA SATUAN'!$C$7:$C$1509,0),0)))</f>
        <v>Bh</v>
      </c>
      <c r="F75" s="291">
        <v>2</v>
      </c>
      <c r="G75" s="283">
        <f ca="1">IF(ISERROR(OFFSET('HARGA SATUAN'!$I$6,MATCH('RAB Standart'!C75,'HARGA SATUAN'!$C$7:$C$1509,0),0)),0,OFFSET('HARGA SATUAN'!$I$6,MATCH('RAB Standart'!C75,'HARGA SATUAN'!$C$7:$C$1509,0),0))</f>
        <v>60300</v>
      </c>
      <c r="H75" s="284">
        <f t="shared" ca="1" si="16"/>
        <v>0</v>
      </c>
      <c r="I75" s="284">
        <f t="shared" ca="1" si="17"/>
        <v>120600</v>
      </c>
      <c r="J75" s="284">
        <f t="shared" ca="1" si="18"/>
        <v>0</v>
      </c>
      <c r="K75" s="285">
        <f t="shared" ca="1" si="19"/>
        <v>120600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 ht="14.25" customHeight="1">
      <c r="A76" s="259"/>
      <c r="B76" s="294">
        <v>7</v>
      </c>
      <c r="C76" s="495" t="s">
        <v>477</v>
      </c>
      <c r="D76" s="281" t="str">
        <f ca="1">IF(ISERROR(OFFSET('HARGA SATUAN'!$D$6,MATCH('RAB Standart'!C76,'HARGA SATUAN'!$C$7:$C$1509,0),0)),"",OFFSET('HARGA SATUAN'!$D$6,MATCH('RAB Standart'!C76,'HARGA SATUAN'!$C$7:$C$1509,0),0))</f>
        <v>MDU-KD</v>
      </c>
      <c r="E76" s="282" t="str">
        <f ca="1">IF(B76="+","Unit",IF(ISERROR(OFFSET('HARGA SATUAN'!$E$6,MATCH('RAB Standart'!C76,'HARGA SATUAN'!$C$7:$C$1509,0),0)),"",OFFSET('HARGA SATUAN'!$E$6,MATCH('RAB Standart'!C76,'HARGA SATUAN'!$C$7:$C$1509,0),0)))</f>
        <v>Bh</v>
      </c>
      <c r="F76" s="291">
        <v>1</v>
      </c>
      <c r="G76" s="283">
        <f ca="1">IF(ISERROR(OFFSET('HARGA SATUAN'!$I$6,MATCH('RAB Standart'!C76,'HARGA SATUAN'!$C$7:$C$1509,0),0)),0,OFFSET('HARGA SATUAN'!$I$6,MATCH('RAB Standart'!C76,'HARGA SATUAN'!$C$7:$C$1509,0),0))</f>
        <v>168200</v>
      </c>
      <c r="H76" s="284">
        <f t="shared" ca="1" si="16"/>
        <v>168200</v>
      </c>
      <c r="I76" s="284">
        <f t="shared" ca="1" si="17"/>
        <v>0</v>
      </c>
      <c r="J76" s="284">
        <f t="shared" ca="1" si="18"/>
        <v>0</v>
      </c>
      <c r="K76" s="285">
        <f t="shared" ca="1" si="19"/>
        <v>168200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 ht="14.25" customHeight="1">
      <c r="A77" s="259"/>
      <c r="B77" s="294">
        <v>8</v>
      </c>
      <c r="C77" s="495" t="s">
        <v>481</v>
      </c>
      <c r="D77" s="281" t="str">
        <f ca="1">IF(ISERROR(OFFSET('HARGA SATUAN'!$D$6,MATCH('RAB Standart'!C77,'HARGA SATUAN'!$C$7:$C$1509,0),0)),"",OFFSET('HARGA SATUAN'!$D$6,MATCH('RAB Standart'!C77,'HARGA SATUAN'!$C$7:$C$1509,0),0))</f>
        <v>MDU-KD</v>
      </c>
      <c r="E77" s="282" t="str">
        <f ca="1">IF(B77="+","Unit",IF(ISERROR(OFFSET('HARGA SATUAN'!$E$6,MATCH('RAB Standart'!C77,'HARGA SATUAN'!$C$7:$C$1509,0),0)),"",OFFSET('HARGA SATUAN'!$E$6,MATCH('RAB Standart'!C77,'HARGA SATUAN'!$C$7:$C$1509,0),0)))</f>
        <v>Bh</v>
      </c>
      <c r="F77" s="291">
        <v>1</v>
      </c>
      <c r="G77" s="283">
        <f ca="1">IF(ISERROR(OFFSET('HARGA SATUAN'!$I$6,MATCH('RAB Standart'!C77,'HARGA SATUAN'!$C$7:$C$1509,0),0)),0,OFFSET('HARGA SATUAN'!$I$6,MATCH('RAB Standart'!C77,'HARGA SATUAN'!$C$7:$C$1509,0),0))</f>
        <v>39000</v>
      </c>
      <c r="H77" s="284">
        <f t="shared" ca="1" si="16"/>
        <v>39000</v>
      </c>
      <c r="I77" s="284">
        <f t="shared" ca="1" si="17"/>
        <v>0</v>
      </c>
      <c r="J77" s="284">
        <f t="shared" ca="1" si="18"/>
        <v>0</v>
      </c>
      <c r="K77" s="285">
        <f t="shared" ca="1" si="19"/>
        <v>39000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 ht="14.25" customHeight="1">
      <c r="A78" s="259"/>
      <c r="B78" s="294">
        <v>9</v>
      </c>
      <c r="C78" s="495" t="s">
        <v>66</v>
      </c>
      <c r="D78" s="281" t="str">
        <f ca="1">IF(ISERROR(OFFSET('HARGA SATUAN'!$D$6,MATCH('RAB Standart'!C78,'HARGA SATUAN'!$C$7:$C$1509,0),0)),"",OFFSET('HARGA SATUAN'!$D$6,MATCH('RAB Standart'!C78,'HARGA SATUAN'!$C$7:$C$1509,0),0))</f>
        <v>MDU-KD</v>
      </c>
      <c r="E78" s="282" t="str">
        <f ca="1">IF(B78="+","Unit",IF(ISERROR(OFFSET('HARGA SATUAN'!$E$6,MATCH('RAB Standart'!C78,'HARGA SATUAN'!$C$7:$C$1509,0),0)),"",OFFSET('HARGA SATUAN'!$E$6,MATCH('RAB Standart'!C78,'HARGA SATUAN'!$C$7:$C$1509,0),0)))</f>
        <v>Mtr</v>
      </c>
      <c r="F78" s="291">
        <v>35</v>
      </c>
      <c r="G78" s="283">
        <f ca="1">IF(ISERROR(OFFSET('HARGA SATUAN'!$I$6,MATCH('RAB Standart'!C78,'HARGA SATUAN'!$C$7:$C$1509,0),0)),0,OFFSET('HARGA SATUAN'!$I$6,MATCH('RAB Standart'!C78,'HARGA SATUAN'!$C$7:$C$1509,0),0))</f>
        <v>4300</v>
      </c>
      <c r="H78" s="284">
        <f t="shared" ca="1" si="16"/>
        <v>150500</v>
      </c>
      <c r="I78" s="284">
        <f t="shared" ca="1" si="17"/>
        <v>0</v>
      </c>
      <c r="J78" s="284">
        <f t="shared" ca="1" si="18"/>
        <v>0</v>
      </c>
      <c r="K78" s="285">
        <f t="shared" ca="1" si="19"/>
        <v>150500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 ht="14.25" customHeight="1">
      <c r="A79" s="259"/>
      <c r="B79" s="294">
        <v>10</v>
      </c>
      <c r="C79" s="495" t="s">
        <v>794</v>
      </c>
      <c r="D79" s="281" t="str">
        <f ca="1">IF(ISERROR(OFFSET('HARGA SATUAN'!$D$6,MATCH('RAB Standart'!C79,'HARGA SATUAN'!$C$7:$C$1509,0),0)),"",OFFSET('HARGA SATUAN'!$D$6,MATCH('RAB Standart'!C79,'HARGA SATUAN'!$C$7:$C$1509,0),0))</f>
        <v>JASA</v>
      </c>
      <c r="E79" s="282" t="str">
        <f ca="1">IF(B79="+","Unit",IF(ISERROR(OFFSET('HARGA SATUAN'!$E$6,MATCH('RAB Standart'!C79,'HARGA SATUAN'!$C$7:$C$1509,0),0)),"",OFFSET('HARGA SATUAN'!$E$6,MATCH('RAB Standart'!C79,'HARGA SATUAN'!$C$7:$C$1509,0),0)))</f>
        <v>Unit</v>
      </c>
      <c r="F79" s="291">
        <v>1</v>
      </c>
      <c r="G79" s="283">
        <f ca="1">IF(ISERROR(OFFSET('HARGA SATUAN'!$I$6,MATCH('RAB Standart'!C79,'HARGA SATUAN'!$C$7:$C$1509,0),0)),0,OFFSET('HARGA SATUAN'!$I$6,MATCH('RAB Standart'!C79,'HARGA SATUAN'!$C$7:$C$1509,0),0))</f>
        <v>798700</v>
      </c>
      <c r="H79" s="284">
        <f t="shared" ca="1" si="16"/>
        <v>0</v>
      </c>
      <c r="I79" s="284">
        <f t="shared" ca="1" si="17"/>
        <v>0</v>
      </c>
      <c r="J79" s="284">
        <f t="shared" ca="1" si="18"/>
        <v>798700</v>
      </c>
      <c r="K79" s="285">
        <f t="shared" ca="1" si="19"/>
        <v>798700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 ht="14.25" customHeight="1">
      <c r="A80" s="259"/>
      <c r="B80" s="294"/>
      <c r="C80" s="495"/>
      <c r="D80" s="281" t="str">
        <f ca="1">IF(ISERROR(OFFSET('HARGA SATUAN'!$D$6,MATCH('RAB Standart'!C80,'HARGA SATUAN'!$C$7:$C$1509,0),0)),"",OFFSET('HARGA SATUAN'!$D$6,MATCH('RAB Standart'!C80,'HARGA SATUAN'!$C$7:$C$1509,0),0))</f>
        <v/>
      </c>
      <c r="E80" s="282" t="str">
        <f ca="1">IF(B80="+","Unit",IF(ISERROR(OFFSET('HARGA SATUAN'!$E$6,MATCH('RAB Standart'!C80,'HARGA SATUAN'!$C$7:$C$1509,0),0)),"",OFFSET('HARGA SATUAN'!$E$6,MATCH('RAB Standart'!C80,'HARGA SATUAN'!$C$7:$C$1509,0),0)))</f>
        <v/>
      </c>
      <c r="F80" s="291"/>
      <c r="G80" s="283">
        <f ca="1">IF(ISERROR(OFFSET('HARGA SATUAN'!$I$6,MATCH('RAB Standart'!C80,'HARGA SATUAN'!$C$7:$C$1509,0),0)),0,OFFSET('HARGA SATUAN'!$I$6,MATCH('RAB Standart'!C80,'HARGA SATUAN'!$C$7:$C$1509,0),0))</f>
        <v>0</v>
      </c>
      <c r="H80" s="284">
        <f t="shared" ca="1" si="16"/>
        <v>0</v>
      </c>
      <c r="I80" s="284">
        <f t="shared" ca="1" si="17"/>
        <v>0</v>
      </c>
      <c r="J80" s="284">
        <f t="shared" ca="1" si="18"/>
        <v>0</v>
      </c>
      <c r="K80" s="285">
        <f t="shared" ca="1" si="19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14.25" customHeight="1">
      <c r="A81" s="259"/>
      <c r="B81" s="294" t="s">
        <v>1008</v>
      </c>
      <c r="C81" s="495" t="s">
        <v>1666</v>
      </c>
      <c r="D81" s="281" t="str">
        <f ca="1">IF(ISERROR(OFFSET('HARGA SATUAN'!$D$6,MATCH('RAB Standart'!C81,'HARGA SATUAN'!$C$7:$C$1509,0),0)),"",OFFSET('HARGA SATUAN'!$D$6,MATCH('RAB Standart'!C81,'HARGA SATUAN'!$C$7:$C$1509,0),0))</f>
        <v/>
      </c>
      <c r="E81" s="282" t="str">
        <f ca="1">IF(B81="+","Unit",IF(ISERROR(OFFSET('HARGA SATUAN'!$E$6,MATCH('RAB Standart'!C81,'HARGA SATUAN'!$C$7:$C$1509,0),0)),"",OFFSET('HARGA SATUAN'!$E$6,MATCH('RAB Standart'!C81,'HARGA SATUAN'!$C$7:$C$1509,0),0)))</f>
        <v>Unit</v>
      </c>
      <c r="F81" s="291">
        <v>1</v>
      </c>
      <c r="G81" s="283">
        <f ca="1">IF(ISERROR(OFFSET('HARGA SATUAN'!$I$6,MATCH('RAB Standart'!C81,'HARGA SATUAN'!$C$7:$C$1509,0),0)),0,OFFSET('HARGA SATUAN'!$I$6,MATCH('RAB Standart'!C81,'HARGA SATUAN'!$C$7:$C$1509,0),0))</f>
        <v>0</v>
      </c>
      <c r="H81" s="284">
        <f t="shared" ca="1" si="16"/>
        <v>0</v>
      </c>
      <c r="I81" s="284">
        <f t="shared" ca="1" si="17"/>
        <v>0</v>
      </c>
      <c r="J81" s="284">
        <f t="shared" ca="1" si="18"/>
        <v>0</v>
      </c>
      <c r="K81" s="285">
        <f t="shared" ca="1" si="19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 ht="14.25" customHeight="1">
      <c r="A82" s="259"/>
      <c r="B82" s="294">
        <v>1</v>
      </c>
      <c r="C82" s="495" t="s">
        <v>988</v>
      </c>
      <c r="D82" s="281" t="str">
        <f ca="1">IF(ISERROR(OFFSET('HARGA SATUAN'!$D$6,MATCH('RAB Standart'!C82,'HARGA SATUAN'!$C$7:$C$1509,0),0)),"",OFFSET('HARGA SATUAN'!$D$6,MATCH('RAB Standart'!C82,'HARGA SATUAN'!$C$7:$C$1509,0),0))</f>
        <v>MDU-KD</v>
      </c>
      <c r="E82" s="282" t="str">
        <f ca="1">IF(B82="+","Unit",IF(ISERROR(OFFSET('HARGA SATUAN'!$E$6,MATCH('RAB Standart'!C82,'HARGA SATUAN'!$C$7:$C$1509,0),0)),"",OFFSET('HARGA SATUAN'!$E$6,MATCH('RAB Standart'!C82,'HARGA SATUAN'!$C$7:$C$1509,0),0)))</f>
        <v>Cell</v>
      </c>
      <c r="F82" s="291">
        <v>1</v>
      </c>
      <c r="G82" s="283">
        <f ca="1">IF(ISERROR(OFFSET('HARGA SATUAN'!$I$6,MATCH('RAB Standart'!C82,'HARGA SATUAN'!$C$7:$C$1509,0),0)),0,OFFSET('HARGA SATUAN'!$I$6,MATCH('RAB Standart'!C82,'HARGA SATUAN'!$C$7:$C$1509,0),0))</f>
        <v>34969900</v>
      </c>
      <c r="H82" s="284">
        <f t="shared" ca="1" si="16"/>
        <v>34969900</v>
      </c>
      <c r="I82" s="284">
        <f t="shared" ca="1" si="17"/>
        <v>0</v>
      </c>
      <c r="J82" s="284">
        <f t="shared" ca="1" si="18"/>
        <v>0</v>
      </c>
      <c r="K82" s="285">
        <f t="shared" ca="1" si="19"/>
        <v>34969900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 ht="14.25" customHeight="1">
      <c r="A83" s="259"/>
      <c r="B83" s="294">
        <v>2</v>
      </c>
      <c r="C83" s="495" t="s">
        <v>989</v>
      </c>
      <c r="D83" s="281" t="str">
        <f ca="1">IF(ISERROR(OFFSET('HARGA SATUAN'!$D$6,MATCH('RAB Standart'!C83,'HARGA SATUAN'!$C$7:$C$1509,0),0)),"",OFFSET('HARGA SATUAN'!$D$6,MATCH('RAB Standart'!C83,'HARGA SATUAN'!$C$7:$C$1509,0),0))</f>
        <v>MDU-KD</v>
      </c>
      <c r="E83" s="282" t="str">
        <f ca="1">IF(B83="+","Unit",IF(ISERROR(OFFSET('HARGA SATUAN'!$E$6,MATCH('RAB Standart'!C83,'HARGA SATUAN'!$C$7:$C$1509,0),0)),"",OFFSET('HARGA SATUAN'!$E$6,MATCH('RAB Standart'!C83,'HARGA SATUAN'!$C$7:$C$1509,0),0)))</f>
        <v>Cell</v>
      </c>
      <c r="F83" s="291">
        <v>1</v>
      </c>
      <c r="G83" s="283">
        <f ca="1">IF(ISERROR(OFFSET('HARGA SATUAN'!$I$6,MATCH('RAB Standart'!C83,'HARGA SATUAN'!$C$7:$C$1509,0),0)),0,OFFSET('HARGA SATUAN'!$I$6,MATCH('RAB Standart'!C83,'HARGA SATUAN'!$C$7:$C$1509,0),0))</f>
        <v>145312800</v>
      </c>
      <c r="H83" s="284">
        <f t="shared" ca="1" si="16"/>
        <v>145312800</v>
      </c>
      <c r="I83" s="284">
        <f t="shared" ca="1" si="17"/>
        <v>0</v>
      </c>
      <c r="J83" s="284">
        <f t="shared" ca="1" si="18"/>
        <v>0</v>
      </c>
      <c r="K83" s="285">
        <f t="shared" ca="1" si="19"/>
        <v>145312800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 ht="14.25" customHeight="1">
      <c r="A84" s="259"/>
      <c r="B84" s="294">
        <v>3</v>
      </c>
      <c r="C84" s="495" t="s">
        <v>1140</v>
      </c>
      <c r="D84" s="281" t="str">
        <f ca="1">IF(ISERROR(OFFSET('HARGA SATUAN'!$D$6,MATCH('RAB Standart'!C84,'HARGA SATUAN'!$C$7:$C$1509,0),0)),"",OFFSET('HARGA SATUAN'!$D$6,MATCH('RAB Standart'!C84,'HARGA SATUAN'!$C$7:$C$1509,0),0))</f>
        <v>JASA</v>
      </c>
      <c r="E84" s="282" t="str">
        <f ca="1">IF(B84="+","Unit",IF(ISERROR(OFFSET('HARGA SATUAN'!$E$6,MATCH('RAB Standart'!C84,'HARGA SATUAN'!$C$7:$C$1509,0),0)),"",OFFSET('HARGA SATUAN'!$E$6,MATCH('RAB Standart'!C84,'HARGA SATUAN'!$C$7:$C$1509,0),0)))</f>
        <v>Unit</v>
      </c>
      <c r="F84" s="291">
        <v>1</v>
      </c>
      <c r="G84" s="283">
        <f ca="1">IF(ISERROR(OFFSET('HARGA SATUAN'!$I$6,MATCH('RAB Standart'!C84,'HARGA SATUAN'!$C$7:$C$1509,0),0)),0,OFFSET('HARGA SATUAN'!$I$6,MATCH('RAB Standart'!C84,'HARGA SATUAN'!$C$7:$C$1509,0),0))</f>
        <v>1641700</v>
      </c>
      <c r="H84" s="284">
        <f t="shared" ca="1" si="16"/>
        <v>0</v>
      </c>
      <c r="I84" s="284">
        <f t="shared" ca="1" si="17"/>
        <v>0</v>
      </c>
      <c r="J84" s="284">
        <f t="shared" ca="1" si="18"/>
        <v>1641700</v>
      </c>
      <c r="K84" s="285">
        <f t="shared" ca="1" si="19"/>
        <v>1641700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14.25" customHeight="1">
      <c r="A85" s="259"/>
      <c r="B85" s="294"/>
      <c r="C85" s="495"/>
      <c r="D85" s="281" t="str">
        <f ca="1">IF(ISERROR(OFFSET('HARGA SATUAN'!$D$6,MATCH('RAB Standart'!C85,'HARGA SATUAN'!$C$7:$C$1509,0),0)),"",OFFSET('HARGA SATUAN'!$D$6,MATCH('RAB Standart'!C85,'HARGA SATUAN'!$C$7:$C$1509,0),0))</f>
        <v/>
      </c>
      <c r="E85" s="282" t="str">
        <f ca="1">IF(B85="+","Unit",IF(ISERROR(OFFSET('HARGA SATUAN'!$E$6,MATCH('RAB Standart'!C85,'HARGA SATUAN'!$C$7:$C$1509,0),0)),"",OFFSET('HARGA SATUAN'!$E$6,MATCH('RAB Standart'!C85,'HARGA SATUAN'!$C$7:$C$1509,0),0)))</f>
        <v/>
      </c>
      <c r="F85" s="291"/>
      <c r="G85" s="283">
        <f ca="1">IF(ISERROR(OFFSET('HARGA SATUAN'!$I$6,MATCH('RAB Standart'!C85,'HARGA SATUAN'!$C$7:$C$1509,0),0)),0,OFFSET('HARGA SATUAN'!$I$6,MATCH('RAB Standart'!C85,'HARGA SATUAN'!$C$7:$C$1509,0),0))</f>
        <v>0</v>
      </c>
      <c r="H85" s="284">
        <f t="shared" ca="1" si="16"/>
        <v>0</v>
      </c>
      <c r="I85" s="284">
        <f t="shared" ca="1" si="17"/>
        <v>0</v>
      </c>
      <c r="J85" s="284">
        <f t="shared" ca="1" si="18"/>
        <v>0</v>
      </c>
      <c r="K85" s="285">
        <f t="shared" ca="1" si="19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14.25" customHeight="1">
      <c r="A86" s="259"/>
      <c r="B86" s="294" t="s">
        <v>1008</v>
      </c>
      <c r="C86" s="495" t="s">
        <v>1668</v>
      </c>
      <c r="D86" s="281" t="str">
        <f ca="1">IF(ISERROR(OFFSET('HARGA SATUAN'!$D$6,MATCH('RAB Standart'!C86,'HARGA SATUAN'!$C$7:$C$1509,0),0)),"",OFFSET('HARGA SATUAN'!$D$6,MATCH('RAB Standart'!C86,'HARGA SATUAN'!$C$7:$C$1509,0),0))</f>
        <v/>
      </c>
      <c r="E86" s="282" t="str">
        <f ca="1">IF(B86="+","Unit",IF(ISERROR(OFFSET('HARGA SATUAN'!$E$6,MATCH('RAB Standart'!C86,'HARGA SATUAN'!$C$7:$C$1509,0),0)),"",OFFSET('HARGA SATUAN'!$E$6,MATCH('RAB Standart'!C86,'HARGA SATUAN'!$C$7:$C$1509,0),0)))</f>
        <v>Unit</v>
      </c>
      <c r="F86" s="291">
        <v>1</v>
      </c>
      <c r="G86" s="283">
        <f ca="1">IF(ISERROR(OFFSET('HARGA SATUAN'!$I$6,MATCH('RAB Standart'!C86,'HARGA SATUAN'!$C$7:$C$1509,0),0)),0,OFFSET('HARGA SATUAN'!$I$6,MATCH('RAB Standart'!C86,'HARGA SATUAN'!$C$7:$C$1509,0),0))</f>
        <v>0</v>
      </c>
      <c r="H86" s="284">
        <f t="shared" ca="1" si="16"/>
        <v>0</v>
      </c>
      <c r="I86" s="284">
        <f t="shared" ca="1" si="17"/>
        <v>0</v>
      </c>
      <c r="J86" s="284">
        <f t="shared" ca="1" si="18"/>
        <v>0</v>
      </c>
      <c r="K86" s="285">
        <f t="shared" ca="1" si="19"/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 ht="14.25" customHeight="1">
      <c r="A87" s="259"/>
      <c r="B87" s="294">
        <v>1</v>
      </c>
      <c r="C87" s="495" t="s">
        <v>1577</v>
      </c>
      <c r="D87" s="281" t="str">
        <f ca="1">IF(ISERROR(OFFSET('HARGA SATUAN'!$D$6,MATCH('RAB Standart'!C87,'HARGA SATUAN'!$C$7:$C$1509,0),0)),"",OFFSET('HARGA SATUAN'!$D$6,MATCH('RAB Standart'!C87,'HARGA SATUAN'!$C$7:$C$1509,0),0))</f>
        <v>HDW</v>
      </c>
      <c r="E87" s="282" t="str">
        <f ca="1">IF(B87="+","Unit",IF(ISERROR(OFFSET('HARGA SATUAN'!$E$6,MATCH('RAB Standart'!C87,'HARGA SATUAN'!$C$7:$C$1509,0),0)),"",OFFSET('HARGA SATUAN'!$E$6,MATCH('RAB Standart'!C87,'HARGA SATUAN'!$C$7:$C$1509,0),0)))</f>
        <v>Set</v>
      </c>
      <c r="F87" s="291">
        <v>1</v>
      </c>
      <c r="G87" s="283">
        <f ca="1">IF(ISERROR(OFFSET('HARGA SATUAN'!$I$6,MATCH('RAB Standart'!C87,'HARGA SATUAN'!$C$7:$C$1509,0),0)),0,OFFSET('HARGA SATUAN'!$I$6,MATCH('RAB Standart'!C87,'HARGA SATUAN'!$C$7:$C$1509,0),0))</f>
        <v>8703800</v>
      </c>
      <c r="H87" s="284">
        <f t="shared" ca="1" si="16"/>
        <v>0</v>
      </c>
      <c r="I87" s="284">
        <f t="shared" ca="1" si="17"/>
        <v>8703800</v>
      </c>
      <c r="J87" s="284">
        <f t="shared" ca="1" si="18"/>
        <v>0</v>
      </c>
      <c r="K87" s="285">
        <f t="shared" ca="1" si="19"/>
        <v>8703800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 ht="14.25" customHeight="1">
      <c r="A88" s="259"/>
      <c r="B88" s="294">
        <v>2</v>
      </c>
      <c r="C88" s="495" t="s">
        <v>587</v>
      </c>
      <c r="D88" s="281" t="str">
        <f ca="1">IF(ISERROR(OFFSET('HARGA SATUAN'!$D$6,MATCH('RAB Standart'!C88,'HARGA SATUAN'!$C$7:$C$1509,0),0)),"",OFFSET('HARGA SATUAN'!$D$6,MATCH('RAB Standart'!C88,'HARGA SATUAN'!$C$7:$C$1509,0),0))</f>
        <v>HDW</v>
      </c>
      <c r="E88" s="282" t="str">
        <f ca="1">IF(B88="+","Unit",IF(ISERROR(OFFSET('HARGA SATUAN'!$E$6,MATCH('RAB Standart'!C88,'HARGA SATUAN'!$C$7:$C$1509,0),0)),"",OFFSET('HARGA SATUAN'!$E$6,MATCH('RAB Standart'!C88,'HARGA SATUAN'!$C$7:$C$1509,0),0)))</f>
        <v>Bh</v>
      </c>
      <c r="F88" s="291">
        <v>2</v>
      </c>
      <c r="G88" s="283">
        <f ca="1">IF(ISERROR(OFFSET('HARGA SATUAN'!$I$6,MATCH('RAB Standart'!C88,'HARGA SATUAN'!$C$7:$C$1509,0),0)),0,OFFSET('HARGA SATUAN'!$I$6,MATCH('RAB Standart'!C88,'HARGA SATUAN'!$C$7:$C$1509,0),0))</f>
        <v>380500</v>
      </c>
      <c r="H88" s="284">
        <f t="shared" ca="1" si="16"/>
        <v>0</v>
      </c>
      <c r="I88" s="284">
        <f t="shared" ca="1" si="17"/>
        <v>761000</v>
      </c>
      <c r="J88" s="284">
        <f t="shared" ca="1" si="18"/>
        <v>0</v>
      </c>
      <c r="K88" s="285">
        <f t="shared" ca="1" si="19"/>
        <v>761000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 ht="14.25" customHeight="1">
      <c r="A89" s="259"/>
      <c r="B89" s="294">
        <v>3</v>
      </c>
      <c r="C89" s="495" t="s">
        <v>166</v>
      </c>
      <c r="D89" s="281" t="str">
        <f ca="1">IF(ISERROR(OFFSET('HARGA SATUAN'!$D$6,MATCH('RAB Standart'!C89,'HARGA SATUAN'!$C$7:$C$1509,0),0)),"",OFFSET('HARGA SATUAN'!$D$6,MATCH('RAB Standart'!C89,'HARGA SATUAN'!$C$7:$C$1509,0),0))</f>
        <v>HDW</v>
      </c>
      <c r="E89" s="282" t="str">
        <f ca="1">IF(B89="+","Unit",IF(ISERROR(OFFSET('HARGA SATUAN'!$E$6,MATCH('RAB Standart'!C89,'HARGA SATUAN'!$C$7:$C$1509,0),0)),"",OFFSET('HARGA SATUAN'!$E$6,MATCH('RAB Standart'!C89,'HARGA SATUAN'!$C$7:$C$1509,0),0)))</f>
        <v>Bh</v>
      </c>
      <c r="F89" s="291">
        <v>4</v>
      </c>
      <c r="G89" s="283">
        <f ca="1">IF(ISERROR(OFFSET('HARGA SATUAN'!$I$6,MATCH('RAB Standart'!C89,'HARGA SATUAN'!$C$7:$C$1509,0),0)),0,OFFSET('HARGA SATUAN'!$I$6,MATCH('RAB Standart'!C89,'HARGA SATUAN'!$C$7:$C$1509,0),0))</f>
        <v>45000</v>
      </c>
      <c r="H89" s="284">
        <f t="shared" ca="1" si="16"/>
        <v>0</v>
      </c>
      <c r="I89" s="284">
        <f t="shared" ca="1" si="17"/>
        <v>180000</v>
      </c>
      <c r="J89" s="284">
        <f t="shared" ca="1" si="18"/>
        <v>0</v>
      </c>
      <c r="K89" s="285">
        <f t="shared" ca="1" si="19"/>
        <v>180000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 ht="14.25" customHeight="1">
      <c r="A90" s="259"/>
      <c r="B90" s="294">
        <v>4</v>
      </c>
      <c r="C90" s="495" t="s">
        <v>150</v>
      </c>
      <c r="D90" s="281" t="str">
        <f ca="1">IF(ISERROR(OFFSET('HARGA SATUAN'!$D$6,MATCH('RAB Standart'!C90,'HARGA SATUAN'!$C$7:$C$1509,0),0)),"",OFFSET('HARGA SATUAN'!$D$6,MATCH('RAB Standart'!C90,'HARGA SATUAN'!$C$7:$C$1509,0),0))</f>
        <v>HDW</v>
      </c>
      <c r="E90" s="282" t="str">
        <f ca="1">IF(B90="+","Unit",IF(ISERROR(OFFSET('HARGA SATUAN'!$E$6,MATCH('RAB Standart'!C90,'HARGA SATUAN'!$C$7:$C$1509,0),0)),"",OFFSET('HARGA SATUAN'!$E$6,MATCH('RAB Standart'!C90,'HARGA SATUAN'!$C$7:$C$1509,0),0)))</f>
        <v>Bh</v>
      </c>
      <c r="F90" s="291">
        <v>2</v>
      </c>
      <c r="G90" s="283">
        <f ca="1">IF(ISERROR(OFFSET('HARGA SATUAN'!$I$6,MATCH('RAB Standart'!C90,'HARGA SATUAN'!$C$7:$C$1509,0),0)),0,OFFSET('HARGA SATUAN'!$I$6,MATCH('RAB Standart'!C90,'HARGA SATUAN'!$C$7:$C$1509,0),0))</f>
        <v>40000</v>
      </c>
      <c r="H90" s="284">
        <f t="shared" ca="1" si="16"/>
        <v>0</v>
      </c>
      <c r="I90" s="284">
        <f t="shared" ca="1" si="17"/>
        <v>80000</v>
      </c>
      <c r="J90" s="284">
        <f t="shared" ca="1" si="18"/>
        <v>0</v>
      </c>
      <c r="K90" s="285">
        <f t="shared" ca="1" si="19"/>
        <v>80000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 ht="14.25" customHeight="1">
      <c r="A91" s="259"/>
      <c r="B91" s="294">
        <v>5</v>
      </c>
      <c r="C91" s="495" t="s">
        <v>1145</v>
      </c>
      <c r="D91" s="281" t="str">
        <f ca="1">IF(ISERROR(OFFSET('HARGA SATUAN'!$D$6,MATCH('RAB Standart'!C91,'HARGA SATUAN'!$C$7:$C$1509,0),0)),"",OFFSET('HARGA SATUAN'!$D$6,MATCH('RAB Standart'!C91,'HARGA SATUAN'!$C$7:$C$1509,0),0))</f>
        <v>JASA</v>
      </c>
      <c r="E91" s="282" t="str">
        <f ca="1">IF(B91="+","Unit",IF(ISERROR(OFFSET('HARGA SATUAN'!$E$6,MATCH('RAB Standart'!C91,'HARGA SATUAN'!$C$7:$C$1509,0),0)),"",OFFSET('HARGA SATUAN'!$E$6,MATCH('RAB Standart'!C91,'HARGA SATUAN'!$C$7:$C$1509,0),0)))</f>
        <v>Unit</v>
      </c>
      <c r="F91" s="291">
        <v>1</v>
      </c>
      <c r="G91" s="283">
        <f ca="1">IF(ISERROR(OFFSET('HARGA SATUAN'!$I$6,MATCH('RAB Standart'!C91,'HARGA SATUAN'!$C$7:$C$1509,0),0)),0,OFFSET('HARGA SATUAN'!$I$6,MATCH('RAB Standart'!C91,'HARGA SATUAN'!$C$7:$C$1509,0),0))</f>
        <v>1515700</v>
      </c>
      <c r="H91" s="284">
        <f t="shared" ca="1" si="16"/>
        <v>0</v>
      </c>
      <c r="I91" s="284">
        <f t="shared" ca="1" si="17"/>
        <v>0</v>
      </c>
      <c r="J91" s="284">
        <f t="shared" ca="1" si="18"/>
        <v>1515700</v>
      </c>
      <c r="K91" s="285">
        <f t="shared" ca="1" si="19"/>
        <v>1515700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 ht="14.25" customHeight="1">
      <c r="A92" s="259"/>
      <c r="B92" s="294"/>
      <c r="C92" s="495"/>
      <c r="D92" s="281" t="str">
        <f ca="1">IF(ISERROR(OFFSET('HARGA SATUAN'!$D$6,MATCH('RAB Standart'!C92,'HARGA SATUAN'!$C$7:$C$1509,0),0)),"",OFFSET('HARGA SATUAN'!$D$6,MATCH('RAB Standart'!C92,'HARGA SATUAN'!$C$7:$C$1509,0),0))</f>
        <v/>
      </c>
      <c r="E92" s="282" t="str">
        <f ca="1">IF(B92="+","Unit",IF(ISERROR(OFFSET('HARGA SATUAN'!$E$6,MATCH('RAB Standart'!C92,'HARGA SATUAN'!$C$7:$C$1509,0),0)),"",OFFSET('HARGA SATUAN'!$E$6,MATCH('RAB Standart'!C92,'HARGA SATUAN'!$C$7:$C$1509,0),0)))</f>
        <v/>
      </c>
      <c r="F92" s="291"/>
      <c r="G92" s="283">
        <f ca="1">IF(ISERROR(OFFSET('HARGA SATUAN'!$I$6,MATCH('RAB Standart'!C92,'HARGA SATUAN'!$C$7:$C$1509,0),0)),0,OFFSET('HARGA SATUAN'!$I$6,MATCH('RAB Standart'!C92,'HARGA SATUAN'!$C$7:$C$1509,0),0))</f>
        <v>0</v>
      </c>
      <c r="H92" s="284">
        <f t="shared" ca="1" si="16"/>
        <v>0</v>
      </c>
      <c r="I92" s="284">
        <f t="shared" ca="1" si="17"/>
        <v>0</v>
      </c>
      <c r="J92" s="284">
        <f t="shared" ca="1" si="18"/>
        <v>0</v>
      </c>
      <c r="K92" s="285">
        <f t="shared" ca="1" si="19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 ht="14.25" customHeight="1">
      <c r="A93" s="259"/>
      <c r="B93" s="294" t="s">
        <v>1008</v>
      </c>
      <c r="C93" s="495" t="s">
        <v>1669</v>
      </c>
      <c r="D93" s="281" t="str">
        <f ca="1">IF(ISERROR(OFFSET('HARGA SATUAN'!$D$6,MATCH('RAB Standart'!C93,'HARGA SATUAN'!$C$7:$C$1509,0),0)),"",OFFSET('HARGA SATUAN'!$D$6,MATCH('RAB Standart'!C93,'HARGA SATUAN'!$C$7:$C$1509,0),0))</f>
        <v/>
      </c>
      <c r="E93" s="282" t="str">
        <f ca="1">IF(B93="+","Unit",IF(ISERROR(OFFSET('HARGA SATUAN'!$E$6,MATCH('RAB Standart'!C93,'HARGA SATUAN'!$C$7:$C$1509,0),0)),"",OFFSET('HARGA SATUAN'!$E$6,MATCH('RAB Standart'!C93,'HARGA SATUAN'!$C$7:$C$1509,0),0)))</f>
        <v>Unit</v>
      </c>
      <c r="F93" s="291">
        <v>1</v>
      </c>
      <c r="G93" s="283">
        <f ca="1">IF(ISERROR(OFFSET('HARGA SATUAN'!$I$6,MATCH('RAB Standart'!C93,'HARGA SATUAN'!$C$7:$C$1509,0),0)),0,OFFSET('HARGA SATUAN'!$I$6,MATCH('RAB Standart'!C93,'HARGA SATUAN'!$C$7:$C$1509,0),0))</f>
        <v>0</v>
      </c>
      <c r="H93" s="284">
        <f t="shared" ca="1" si="16"/>
        <v>0</v>
      </c>
      <c r="I93" s="284">
        <f t="shared" ca="1" si="17"/>
        <v>0</v>
      </c>
      <c r="J93" s="284">
        <f t="shared" ca="1" si="18"/>
        <v>0</v>
      </c>
      <c r="K93" s="285">
        <f t="shared" ca="1" si="19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 ht="14.25" customHeight="1">
      <c r="A94" s="259"/>
      <c r="B94" s="294">
        <v>1</v>
      </c>
      <c r="C94" s="495" t="s">
        <v>552</v>
      </c>
      <c r="D94" s="281" t="str">
        <f ca="1">IF(ISERROR(OFFSET('HARGA SATUAN'!$D$6,MATCH('RAB Standart'!C94,'HARGA SATUAN'!$C$7:$C$1509,0),0)),"",OFFSET('HARGA SATUAN'!$D$6,MATCH('RAB Standart'!C94,'HARGA SATUAN'!$C$7:$C$1509,0),0))</f>
        <v>MDU-KD</v>
      </c>
      <c r="E94" s="282" t="str">
        <f ca="1">IF(B94="+","Unit",IF(ISERROR(OFFSET('HARGA SATUAN'!$E$6,MATCH('RAB Standart'!C94,'HARGA SATUAN'!$C$7:$C$1509,0),0)),"",OFFSET('HARGA SATUAN'!$E$6,MATCH('RAB Standart'!C94,'HARGA SATUAN'!$C$7:$C$1509,0),0)))</f>
        <v>Bh</v>
      </c>
      <c r="F94" s="291">
        <v>3</v>
      </c>
      <c r="G94" s="283">
        <f ca="1">IF(ISERROR(OFFSET('HARGA SATUAN'!$I$6,MATCH('RAB Standart'!C94,'HARGA SATUAN'!$C$7:$C$1509,0),0)),0,OFFSET('HARGA SATUAN'!$I$6,MATCH('RAB Standart'!C94,'HARGA SATUAN'!$C$7:$C$1509,0),0))</f>
        <v>725900</v>
      </c>
      <c r="H94" s="284">
        <f t="shared" ca="1" si="16"/>
        <v>2177700</v>
      </c>
      <c r="I94" s="284">
        <f t="shared" ca="1" si="17"/>
        <v>0</v>
      </c>
      <c r="J94" s="284">
        <f t="shared" ca="1" si="18"/>
        <v>0</v>
      </c>
      <c r="K94" s="285">
        <f t="shared" ca="1" si="19"/>
        <v>2177700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 ht="14.25" customHeight="1">
      <c r="A95" s="259"/>
      <c r="B95" s="294">
        <v>2</v>
      </c>
      <c r="C95" s="495" t="s">
        <v>173</v>
      </c>
      <c r="D95" s="281" t="str">
        <f ca="1">IF(ISERROR(OFFSET('HARGA SATUAN'!$D$6,MATCH('RAB Standart'!C95,'HARGA SATUAN'!$C$7:$C$1509,0),0)),"",OFFSET('HARGA SATUAN'!$D$6,MATCH('RAB Standart'!C95,'HARGA SATUAN'!$C$7:$C$1509,0),0))</f>
        <v>HDW</v>
      </c>
      <c r="E95" s="282" t="str">
        <f ca="1">IF(B95="+","Unit",IF(ISERROR(OFFSET('HARGA SATUAN'!$E$6,MATCH('RAB Standart'!C95,'HARGA SATUAN'!$C$7:$C$1509,0),0)),"",OFFSET('HARGA SATUAN'!$E$6,MATCH('RAB Standart'!C95,'HARGA SATUAN'!$C$7:$C$1509,0),0)))</f>
        <v>Bh</v>
      </c>
      <c r="F95" s="291">
        <v>3</v>
      </c>
      <c r="G95" s="283">
        <f ca="1">IF(ISERROR(OFFSET('HARGA SATUAN'!$I$6,MATCH('RAB Standart'!C95,'HARGA SATUAN'!$C$7:$C$1509,0),0)),0,OFFSET('HARGA SATUAN'!$I$6,MATCH('RAB Standart'!C95,'HARGA SATUAN'!$C$7:$C$1509,0),0))</f>
        <v>37700</v>
      </c>
      <c r="H95" s="284">
        <f t="shared" ca="1" si="16"/>
        <v>0</v>
      </c>
      <c r="I95" s="284">
        <f t="shared" ca="1" si="17"/>
        <v>113100</v>
      </c>
      <c r="J95" s="284">
        <f t="shared" ca="1" si="18"/>
        <v>0</v>
      </c>
      <c r="K95" s="285">
        <f t="shared" ca="1" si="19"/>
        <v>113100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 ht="14.25" customHeight="1">
      <c r="A96" s="259"/>
      <c r="B96" s="294">
        <v>3</v>
      </c>
      <c r="C96" s="495" t="s">
        <v>177</v>
      </c>
      <c r="D96" s="281" t="str">
        <f ca="1">IF(ISERROR(OFFSET('HARGA SATUAN'!$D$6,MATCH('RAB Standart'!C96,'HARGA SATUAN'!$C$7:$C$1509,0),0)),"",OFFSET('HARGA SATUAN'!$D$6,MATCH('RAB Standart'!C96,'HARGA SATUAN'!$C$7:$C$1509,0),0))</f>
        <v>HDW</v>
      </c>
      <c r="E96" s="282" t="str">
        <f ca="1">IF(B96="+","Unit",IF(ISERROR(OFFSET('HARGA SATUAN'!$E$6,MATCH('RAB Standart'!C96,'HARGA SATUAN'!$C$7:$C$1509,0),0)),"",OFFSET('HARGA SATUAN'!$E$6,MATCH('RAB Standart'!C96,'HARGA SATUAN'!$C$7:$C$1509,0),0)))</f>
        <v>Bh</v>
      </c>
      <c r="F96" s="291">
        <v>1</v>
      </c>
      <c r="G96" s="283">
        <f ca="1">IF(ISERROR(OFFSET('HARGA SATUAN'!$I$6,MATCH('RAB Standart'!C96,'HARGA SATUAN'!$C$7:$C$1509,0),0)),0,OFFSET('HARGA SATUAN'!$I$6,MATCH('RAB Standart'!C96,'HARGA SATUAN'!$C$7:$C$1509,0),0))</f>
        <v>15900</v>
      </c>
      <c r="H96" s="284">
        <f t="shared" ca="1" si="16"/>
        <v>0</v>
      </c>
      <c r="I96" s="284">
        <f t="shared" ca="1" si="17"/>
        <v>15900</v>
      </c>
      <c r="J96" s="284">
        <f t="shared" ca="1" si="18"/>
        <v>0</v>
      </c>
      <c r="K96" s="285">
        <f t="shared" ca="1" si="19"/>
        <v>15900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 ht="14.25" customHeight="1">
      <c r="A97" s="259"/>
      <c r="B97" s="294">
        <v>4</v>
      </c>
      <c r="C97" s="495" t="s">
        <v>1578</v>
      </c>
      <c r="D97" s="281" t="str">
        <f ca="1">IF(ISERROR(OFFSET('HARGA SATUAN'!$D$6,MATCH('RAB Standart'!C97,'HARGA SATUAN'!$C$7:$C$1509,0),0)),"",OFFSET('HARGA SATUAN'!$D$6,MATCH('RAB Standart'!C97,'HARGA SATUAN'!$C$7:$C$1509,0),0))</f>
        <v>HDW</v>
      </c>
      <c r="E97" s="282" t="str">
        <f ca="1">IF(B97="+","Unit",IF(ISERROR(OFFSET('HARGA SATUAN'!$E$6,MATCH('RAB Standart'!C97,'HARGA SATUAN'!$C$7:$C$1509,0),0)),"",OFFSET('HARGA SATUAN'!$E$6,MATCH('RAB Standart'!C97,'HARGA SATUAN'!$C$7:$C$1509,0),0)))</f>
        <v>Bh</v>
      </c>
      <c r="F97" s="291">
        <v>6</v>
      </c>
      <c r="G97" s="283">
        <f ca="1">IF(ISERROR(OFFSET('HARGA SATUAN'!$I$6,MATCH('RAB Standart'!C97,'HARGA SATUAN'!$C$7:$C$1509,0),0)),0,OFFSET('HARGA SATUAN'!$I$6,MATCH('RAB Standart'!C97,'HARGA SATUAN'!$C$7:$C$1509,0),0))</f>
        <v>26200</v>
      </c>
      <c r="H97" s="284">
        <f t="shared" ca="1" si="16"/>
        <v>0</v>
      </c>
      <c r="I97" s="284">
        <f t="shared" ca="1" si="17"/>
        <v>157200</v>
      </c>
      <c r="J97" s="284">
        <f t="shared" ca="1" si="18"/>
        <v>0</v>
      </c>
      <c r="K97" s="285">
        <f t="shared" ca="1" si="19"/>
        <v>157200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 ht="14.25" customHeight="1">
      <c r="A98" s="259"/>
      <c r="B98" s="294">
        <v>5</v>
      </c>
      <c r="C98" s="495" t="s">
        <v>57</v>
      </c>
      <c r="D98" s="281" t="str">
        <f ca="1">IF(ISERROR(OFFSET('HARGA SATUAN'!$D$6,MATCH('RAB Standart'!C98,'HARGA SATUAN'!$C$7:$C$1509,0),0)),"",OFFSET('HARGA SATUAN'!$D$6,MATCH('RAB Standart'!C98,'HARGA SATUAN'!$C$7:$C$1509,0),0))</f>
        <v>MDU-KD</v>
      </c>
      <c r="E98" s="282" t="str">
        <f ca="1">IF(B98="+","Unit",IF(ISERROR(OFFSET('HARGA SATUAN'!$E$6,MATCH('RAB Standart'!C98,'HARGA SATUAN'!$C$7:$C$1509,0),0)),"",OFFSET('HARGA SATUAN'!$E$6,MATCH('RAB Standart'!C98,'HARGA SATUAN'!$C$7:$C$1509,0),0)))</f>
        <v>Mtr</v>
      </c>
      <c r="F98" s="291">
        <v>4</v>
      </c>
      <c r="G98" s="283">
        <f ca="1">IF(ISERROR(OFFSET('HARGA SATUAN'!$I$6,MATCH('RAB Standart'!C98,'HARGA SATUAN'!$C$7:$C$1509,0),0)),0,OFFSET('HARGA SATUAN'!$I$6,MATCH('RAB Standart'!C98,'HARGA SATUAN'!$C$7:$C$1509,0),0))</f>
        <v>14200</v>
      </c>
      <c r="H98" s="284">
        <f t="shared" ca="1" si="16"/>
        <v>56800</v>
      </c>
      <c r="I98" s="284">
        <f t="shared" ca="1" si="17"/>
        <v>0</v>
      </c>
      <c r="J98" s="284">
        <f t="shared" ca="1" si="18"/>
        <v>0</v>
      </c>
      <c r="K98" s="285">
        <f t="shared" ca="1" si="19"/>
        <v>56800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 ht="14.25" customHeight="1">
      <c r="A99" s="259"/>
      <c r="B99" s="294">
        <v>6</v>
      </c>
      <c r="C99" s="495" t="s">
        <v>739</v>
      </c>
      <c r="D99" s="281" t="str">
        <f ca="1">IF(ISERROR(OFFSET('HARGA SATUAN'!$D$6,MATCH('RAB Standart'!C99,'HARGA SATUAN'!$C$7:$C$1509,0),0)),"",OFFSET('HARGA SATUAN'!$D$6,MATCH('RAB Standart'!C99,'HARGA SATUAN'!$C$7:$C$1509,0),0))</f>
        <v>JASA</v>
      </c>
      <c r="E99" s="282" t="str">
        <f ca="1">IF(B99="+","Unit",IF(ISERROR(OFFSET('HARGA SATUAN'!$E$6,MATCH('RAB Standart'!C99,'HARGA SATUAN'!$C$7:$C$1509,0),0)),"",OFFSET('HARGA SATUAN'!$E$6,MATCH('RAB Standart'!C99,'HARGA SATUAN'!$C$7:$C$1509,0),0)))</f>
        <v>Unit</v>
      </c>
      <c r="F99" s="291">
        <v>3</v>
      </c>
      <c r="G99" s="283">
        <f ca="1">IF(ISERROR(OFFSET('HARGA SATUAN'!$I$6,MATCH('RAB Standart'!C99,'HARGA SATUAN'!$C$7:$C$1509,0),0)),0,OFFSET('HARGA SATUAN'!$I$6,MATCH('RAB Standart'!C99,'HARGA SATUAN'!$C$7:$C$1509,0),0))</f>
        <v>58400</v>
      </c>
      <c r="H99" s="284">
        <f t="shared" ca="1" si="16"/>
        <v>0</v>
      </c>
      <c r="I99" s="284">
        <f t="shared" ca="1" si="17"/>
        <v>0</v>
      </c>
      <c r="J99" s="284">
        <f t="shared" ca="1" si="18"/>
        <v>175200</v>
      </c>
      <c r="K99" s="285">
        <f t="shared" ca="1" si="19"/>
        <v>175200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 ht="14.25" customHeight="1">
      <c r="A100" s="259"/>
      <c r="B100" s="294"/>
      <c r="C100" s="495"/>
      <c r="D100" s="281" t="str">
        <f ca="1">IF(ISERROR(OFFSET('HARGA SATUAN'!$D$6,MATCH('RAB Standart'!C100,'HARGA SATUAN'!$C$7:$C$1509,0),0)),"",OFFSET('HARGA SATUAN'!$D$6,MATCH('RAB Standart'!C100,'HARGA SATUAN'!$C$7:$C$1509,0),0))</f>
        <v/>
      </c>
      <c r="E100" s="282" t="str">
        <f ca="1">IF(B100="+","Unit",IF(ISERROR(OFFSET('HARGA SATUAN'!$E$6,MATCH('RAB Standart'!C100,'HARGA SATUAN'!$C$7:$C$1509,0),0)),"",OFFSET('HARGA SATUAN'!$E$6,MATCH('RAB Standart'!C100,'HARGA SATUAN'!$C$7:$C$1509,0),0)))</f>
        <v/>
      </c>
      <c r="F100" s="291"/>
      <c r="G100" s="283">
        <f ca="1">IF(ISERROR(OFFSET('HARGA SATUAN'!$I$6,MATCH('RAB Standart'!C100,'HARGA SATUAN'!$C$7:$C$1509,0),0)),0,OFFSET('HARGA SATUAN'!$I$6,MATCH('RAB Standart'!C100,'HARGA SATUAN'!$C$7:$C$1509,0),0))</f>
        <v>0</v>
      </c>
      <c r="H100" s="284">
        <f t="shared" ca="1" si="16"/>
        <v>0</v>
      </c>
      <c r="I100" s="284">
        <f t="shared" ca="1" si="17"/>
        <v>0</v>
      </c>
      <c r="J100" s="284">
        <f t="shared" ca="1" si="18"/>
        <v>0</v>
      </c>
      <c r="K100" s="285">
        <f t="shared" ca="1" si="19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 ht="14.25" customHeight="1">
      <c r="A101" s="259"/>
      <c r="B101" s="294" t="s">
        <v>1008</v>
      </c>
      <c r="C101" s="495" t="s">
        <v>1670</v>
      </c>
      <c r="D101" s="281" t="str">
        <f ca="1">IF(ISERROR(OFFSET('HARGA SATUAN'!$D$6,MATCH('RAB Standart'!C101,'HARGA SATUAN'!$C$7:$C$1509,0),0)),"",OFFSET('HARGA SATUAN'!$D$6,MATCH('RAB Standart'!C101,'HARGA SATUAN'!$C$7:$C$1509,0),0))</f>
        <v/>
      </c>
      <c r="E101" s="282" t="str">
        <f ca="1">IF(B101="+","Unit",IF(ISERROR(OFFSET('HARGA SATUAN'!$E$6,MATCH('RAB Standart'!C101,'HARGA SATUAN'!$C$7:$C$1509,0),0)),"",OFFSET('HARGA SATUAN'!$E$6,MATCH('RAB Standart'!C101,'HARGA SATUAN'!$C$7:$C$1509,0),0)))</f>
        <v>Unit</v>
      </c>
      <c r="F101" s="291">
        <v>1</v>
      </c>
      <c r="G101" s="283">
        <f ca="1">IF(ISERROR(OFFSET('HARGA SATUAN'!$I$6,MATCH('RAB Standart'!C101,'HARGA SATUAN'!$C$7:$C$1509,0),0)),0,OFFSET('HARGA SATUAN'!$I$6,MATCH('RAB Standart'!C101,'HARGA SATUAN'!$C$7:$C$1509,0),0))</f>
        <v>0</v>
      </c>
      <c r="H101" s="284">
        <f t="shared" ca="1" si="16"/>
        <v>0</v>
      </c>
      <c r="I101" s="284">
        <f t="shared" ca="1" si="17"/>
        <v>0</v>
      </c>
      <c r="J101" s="284">
        <f t="shared" ca="1" si="18"/>
        <v>0</v>
      </c>
      <c r="K101" s="285">
        <f t="shared" ca="1" si="19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 ht="14.25" customHeight="1">
      <c r="A102" s="259"/>
      <c r="B102" s="294">
        <v>1</v>
      </c>
      <c r="C102" s="495" t="s">
        <v>19</v>
      </c>
      <c r="D102" s="281" t="str">
        <f ca="1">IF(ISERROR(OFFSET('HARGA SATUAN'!$D$6,MATCH('RAB Standart'!C102,'HARGA SATUAN'!$C$7:$C$1509,0),0)),"",OFFSET('HARGA SATUAN'!$D$6,MATCH('RAB Standart'!C102,'HARGA SATUAN'!$C$7:$C$1509,0),0))</f>
        <v>HDW</v>
      </c>
      <c r="E102" s="282" t="str">
        <f ca="1">IF(B102="+","Unit",IF(ISERROR(OFFSET('HARGA SATUAN'!$E$6,MATCH('RAB Standart'!C102,'HARGA SATUAN'!$C$7:$C$1509,0),0)),"",OFFSET('HARGA SATUAN'!$E$6,MATCH('RAB Standart'!C102,'HARGA SATUAN'!$C$7:$C$1509,0),0)))</f>
        <v>Bh</v>
      </c>
      <c r="F102" s="291">
        <v>1</v>
      </c>
      <c r="G102" s="283">
        <f ca="1">IF(ISERROR(OFFSET('HARGA SATUAN'!$I$6,MATCH('RAB Standart'!C102,'HARGA SATUAN'!$C$7:$C$1509,0),0)),0,OFFSET('HARGA SATUAN'!$I$6,MATCH('RAB Standart'!C102,'HARGA SATUAN'!$C$7:$C$1509,0),0))</f>
        <v>185200</v>
      </c>
      <c r="H102" s="284">
        <f t="shared" ca="1" si="16"/>
        <v>0</v>
      </c>
      <c r="I102" s="284">
        <f t="shared" ca="1" si="17"/>
        <v>185200</v>
      </c>
      <c r="J102" s="284">
        <f t="shared" ca="1" si="18"/>
        <v>0</v>
      </c>
      <c r="K102" s="285">
        <f t="shared" ca="1" si="19"/>
        <v>185200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 ht="14.25" customHeight="1">
      <c r="A103" s="259"/>
      <c r="B103" s="294">
        <v>2</v>
      </c>
      <c r="C103" s="495" t="s">
        <v>20</v>
      </c>
      <c r="D103" s="281" t="str">
        <f ca="1">IF(ISERROR(OFFSET('HARGA SATUAN'!$D$6,MATCH('RAB Standart'!C103,'HARGA SATUAN'!$C$7:$C$1509,0),0)),"",OFFSET('HARGA SATUAN'!$D$6,MATCH('RAB Standart'!C103,'HARGA SATUAN'!$C$7:$C$1509,0),0))</f>
        <v>HDW</v>
      </c>
      <c r="E103" s="282" t="str">
        <f ca="1">IF(B103="+","Unit",IF(ISERROR(OFFSET('HARGA SATUAN'!$E$6,MATCH('RAB Standart'!C103,'HARGA SATUAN'!$C$7:$C$1509,0),0)),"",OFFSET('HARGA SATUAN'!$E$6,MATCH('RAB Standart'!C103,'HARGA SATUAN'!$C$7:$C$1509,0),0)))</f>
        <v>Bh</v>
      </c>
      <c r="F103" s="291">
        <v>1</v>
      </c>
      <c r="G103" s="283">
        <f ca="1">IF(ISERROR(OFFSET('HARGA SATUAN'!$I$6,MATCH('RAB Standart'!C103,'HARGA SATUAN'!$C$7:$C$1509,0),0)),0,OFFSET('HARGA SATUAN'!$I$6,MATCH('RAB Standart'!C103,'HARGA SATUAN'!$C$7:$C$1509,0),0))</f>
        <v>47459</v>
      </c>
      <c r="H103" s="284">
        <f t="shared" ca="1" si="16"/>
        <v>0</v>
      </c>
      <c r="I103" s="284">
        <f t="shared" ca="1" si="17"/>
        <v>47459</v>
      </c>
      <c r="J103" s="284">
        <f t="shared" ca="1" si="18"/>
        <v>0</v>
      </c>
      <c r="K103" s="285">
        <f t="shared" ca="1" si="19"/>
        <v>47459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25" customHeight="1">
      <c r="A104" s="259"/>
      <c r="B104" s="294">
        <v>3</v>
      </c>
      <c r="C104" s="495" t="s">
        <v>21</v>
      </c>
      <c r="D104" s="281" t="str">
        <f ca="1">IF(ISERROR(OFFSET('HARGA SATUAN'!$D$6,MATCH('RAB Standart'!C104,'HARGA SATUAN'!$C$7:$C$1509,0),0)),"",OFFSET('HARGA SATUAN'!$D$6,MATCH('RAB Standart'!C104,'HARGA SATUAN'!$C$7:$C$1509,0),0))</f>
        <v>HDW</v>
      </c>
      <c r="E104" s="282" t="str">
        <f ca="1">IF(B104="+","Unit",IF(ISERROR(OFFSET('HARGA SATUAN'!$E$6,MATCH('RAB Standart'!C104,'HARGA SATUAN'!$C$7:$C$1509,0),0)),"",OFFSET('HARGA SATUAN'!$E$6,MATCH('RAB Standart'!C104,'HARGA SATUAN'!$C$7:$C$1509,0),0)))</f>
        <v>Bh</v>
      </c>
      <c r="F104" s="291">
        <v>1</v>
      </c>
      <c r="G104" s="283">
        <f ca="1">IF(ISERROR(OFFSET('HARGA SATUAN'!$I$6,MATCH('RAB Standart'!C104,'HARGA SATUAN'!$C$7:$C$1509,0),0)),0,OFFSET('HARGA SATUAN'!$I$6,MATCH('RAB Standart'!C104,'HARGA SATUAN'!$C$7:$C$1509,0),0))</f>
        <v>4880</v>
      </c>
      <c r="H104" s="284">
        <f t="shared" ca="1" si="16"/>
        <v>0</v>
      </c>
      <c r="I104" s="284">
        <f t="shared" ca="1" si="17"/>
        <v>4880</v>
      </c>
      <c r="J104" s="284">
        <f t="shared" ca="1" si="18"/>
        <v>0</v>
      </c>
      <c r="K104" s="285">
        <f t="shared" ca="1" si="19"/>
        <v>4880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25" customHeight="1">
      <c r="A105" s="259"/>
      <c r="B105" s="294">
        <v>4</v>
      </c>
      <c r="C105" s="495" t="s">
        <v>22</v>
      </c>
      <c r="D105" s="281" t="str">
        <f ca="1">IF(ISERROR(OFFSET('HARGA SATUAN'!$D$6,MATCH('RAB Standart'!C105,'HARGA SATUAN'!$C$7:$C$1509,0),0)),"",OFFSET('HARGA SATUAN'!$D$6,MATCH('RAB Standart'!C105,'HARGA SATUAN'!$C$7:$C$1509,0),0))</f>
        <v>HDW</v>
      </c>
      <c r="E105" s="282" t="str">
        <f ca="1">IF(B105="+","Unit",IF(ISERROR(OFFSET('HARGA SATUAN'!$E$6,MATCH('RAB Standart'!C105,'HARGA SATUAN'!$C$7:$C$1509,0),0)),"",OFFSET('HARGA SATUAN'!$E$6,MATCH('RAB Standart'!C105,'HARGA SATUAN'!$C$7:$C$1509,0),0)))</f>
        <v>Mtr</v>
      </c>
      <c r="F105" s="291">
        <v>10</v>
      </c>
      <c r="G105" s="283">
        <f ca="1">IF(ISERROR(OFFSET('HARGA SATUAN'!$I$6,MATCH('RAB Standart'!C105,'HARGA SATUAN'!$C$7:$C$1509,0),0)),0,OFFSET('HARGA SATUAN'!$I$6,MATCH('RAB Standart'!C105,'HARGA SATUAN'!$C$7:$C$1509,0),0))</f>
        <v>30000</v>
      </c>
      <c r="H105" s="284">
        <f t="shared" ca="1" si="16"/>
        <v>0</v>
      </c>
      <c r="I105" s="284">
        <f t="shared" ca="1" si="17"/>
        <v>300000</v>
      </c>
      <c r="J105" s="284">
        <f t="shared" ca="1" si="18"/>
        <v>0</v>
      </c>
      <c r="K105" s="285">
        <f t="shared" ca="1" si="19"/>
        <v>300000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25" customHeight="1">
      <c r="A106" s="259"/>
      <c r="B106" s="294">
        <v>5</v>
      </c>
      <c r="C106" s="495" t="s">
        <v>23</v>
      </c>
      <c r="D106" s="281" t="str">
        <f ca="1">IF(ISERROR(OFFSET('HARGA SATUAN'!$D$6,MATCH('RAB Standart'!C106,'HARGA SATUAN'!$C$7:$C$1509,0),0)),"",OFFSET('HARGA SATUAN'!$D$6,MATCH('RAB Standart'!C106,'HARGA SATUAN'!$C$7:$C$1509,0),0))</f>
        <v>HDW</v>
      </c>
      <c r="E106" s="282" t="str">
        <f ca="1">IF(B106="+","Unit",IF(ISERROR(OFFSET('HARGA SATUAN'!$E$6,MATCH('RAB Standart'!C106,'HARGA SATUAN'!$C$7:$C$1509,0),0)),"",OFFSET('HARGA SATUAN'!$E$6,MATCH('RAB Standart'!C106,'HARGA SATUAN'!$C$7:$C$1509,0),0)))</f>
        <v>Bh</v>
      </c>
      <c r="F106" s="291">
        <v>2</v>
      </c>
      <c r="G106" s="283">
        <f ca="1">IF(ISERROR(OFFSET('HARGA SATUAN'!$I$6,MATCH('RAB Standart'!C106,'HARGA SATUAN'!$C$7:$C$1509,0),0)),0,OFFSET('HARGA SATUAN'!$I$6,MATCH('RAB Standart'!C106,'HARGA SATUAN'!$C$7:$C$1509,0),0))</f>
        <v>9500</v>
      </c>
      <c r="H106" s="284">
        <f t="shared" ca="1" si="16"/>
        <v>0</v>
      </c>
      <c r="I106" s="284">
        <f t="shared" ca="1" si="17"/>
        <v>19000</v>
      </c>
      <c r="J106" s="284">
        <f t="shared" ca="1" si="18"/>
        <v>0</v>
      </c>
      <c r="K106" s="285">
        <f t="shared" ca="1" si="19"/>
        <v>19000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25" customHeight="1">
      <c r="A107" s="259"/>
      <c r="B107" s="294">
        <v>6</v>
      </c>
      <c r="C107" s="495" t="s">
        <v>24</v>
      </c>
      <c r="D107" s="281" t="str">
        <f ca="1">IF(ISERROR(OFFSET('HARGA SATUAN'!$D$6,MATCH('RAB Standart'!C107,'HARGA SATUAN'!$C$7:$C$1509,0),0)),"",OFFSET('HARGA SATUAN'!$D$6,MATCH('RAB Standart'!C107,'HARGA SATUAN'!$C$7:$C$1509,0),0))</f>
        <v>HDW</v>
      </c>
      <c r="E107" s="282" t="str">
        <f ca="1">IF(B107="+","Unit",IF(ISERROR(OFFSET('HARGA SATUAN'!$E$6,MATCH('RAB Standart'!C107,'HARGA SATUAN'!$C$7:$C$1509,0),0)),"",OFFSET('HARGA SATUAN'!$E$6,MATCH('RAB Standart'!C107,'HARGA SATUAN'!$C$7:$C$1509,0),0)))</f>
        <v>Bh</v>
      </c>
      <c r="F107" s="291">
        <v>5.5</v>
      </c>
      <c r="G107" s="283">
        <f ca="1">IF(ISERROR(OFFSET('HARGA SATUAN'!$I$6,MATCH('RAB Standart'!C107,'HARGA SATUAN'!$C$7:$C$1509,0),0)),0,OFFSET('HARGA SATUAN'!$I$6,MATCH('RAB Standart'!C107,'HARGA SATUAN'!$C$7:$C$1509,0),0))</f>
        <v>6100</v>
      </c>
      <c r="H107" s="284">
        <f t="shared" ca="1" si="16"/>
        <v>0</v>
      </c>
      <c r="I107" s="284">
        <f t="shared" ca="1" si="17"/>
        <v>33550</v>
      </c>
      <c r="J107" s="284">
        <f t="shared" ca="1" si="18"/>
        <v>0</v>
      </c>
      <c r="K107" s="285">
        <f t="shared" ca="1" si="19"/>
        <v>33550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25" customHeight="1">
      <c r="A108" s="259"/>
      <c r="B108" s="294">
        <v>7</v>
      </c>
      <c r="C108" s="495" t="s">
        <v>25</v>
      </c>
      <c r="D108" s="281" t="str">
        <f ca="1">IF(ISERROR(OFFSET('HARGA SATUAN'!$D$6,MATCH('RAB Standart'!C108,'HARGA SATUAN'!$C$7:$C$1509,0),0)),"",OFFSET('HARGA SATUAN'!$D$6,MATCH('RAB Standart'!C108,'HARGA SATUAN'!$C$7:$C$1509,0),0))</f>
        <v>HDW</v>
      </c>
      <c r="E108" s="282" t="str">
        <f ca="1">IF(B108="+","Unit",IF(ISERROR(OFFSET('HARGA SATUAN'!$E$6,MATCH('RAB Standart'!C108,'HARGA SATUAN'!$C$7:$C$1509,0),0)),"",OFFSET('HARGA SATUAN'!$E$6,MATCH('RAB Standart'!C108,'HARGA SATUAN'!$C$7:$C$1509,0),0)))</f>
        <v>Bh</v>
      </c>
      <c r="F108" s="291">
        <v>6</v>
      </c>
      <c r="G108" s="283">
        <f ca="1">IF(ISERROR(OFFSET('HARGA SATUAN'!$I$6,MATCH('RAB Standart'!C108,'HARGA SATUAN'!$C$7:$C$1509,0),0)),0,OFFSET('HARGA SATUAN'!$I$6,MATCH('RAB Standart'!C108,'HARGA SATUAN'!$C$7:$C$1509,0),0))</f>
        <v>2300</v>
      </c>
      <c r="H108" s="284">
        <f t="shared" ca="1" si="16"/>
        <v>0</v>
      </c>
      <c r="I108" s="284">
        <f t="shared" ca="1" si="17"/>
        <v>13800</v>
      </c>
      <c r="J108" s="284">
        <f t="shared" ca="1" si="18"/>
        <v>0</v>
      </c>
      <c r="K108" s="285">
        <f t="shared" ca="1" si="19"/>
        <v>13800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25" customHeight="1">
      <c r="A109" s="259"/>
      <c r="B109" s="294">
        <v>8</v>
      </c>
      <c r="C109" s="495" t="s">
        <v>1671</v>
      </c>
      <c r="D109" s="281" t="str">
        <f ca="1">IF(ISERROR(OFFSET('HARGA SATUAN'!$D$6,MATCH('RAB Standart'!C109,'HARGA SATUAN'!$C$7:$C$1509,0),0)),"",OFFSET('HARGA SATUAN'!$D$6,MATCH('RAB Standart'!C109,'HARGA SATUAN'!$C$7:$C$1509,0),0))</f>
        <v>HDW</v>
      </c>
      <c r="E109" s="282" t="str">
        <f ca="1">IF(B109="+","Unit",IF(ISERROR(OFFSET('HARGA SATUAN'!$E$6,MATCH('RAB Standart'!C109,'HARGA SATUAN'!$C$7:$C$1509,0),0)),"",OFFSET('HARGA SATUAN'!$E$6,MATCH('RAB Standart'!C109,'HARGA SATUAN'!$C$7:$C$1509,0),0)))</f>
        <v>Mtr</v>
      </c>
      <c r="F109" s="291">
        <v>4.8</v>
      </c>
      <c r="G109" s="283">
        <f ca="1">IF(ISERROR(OFFSET('HARGA SATUAN'!$I$6,MATCH('RAB Standart'!C109,'HARGA SATUAN'!$C$7:$C$1509,0),0)),0,OFFSET('HARGA SATUAN'!$I$6,MATCH('RAB Standart'!C109,'HARGA SATUAN'!$C$7:$C$1509,0),0))</f>
        <v>23310</v>
      </c>
      <c r="H109" s="284">
        <f t="shared" ca="1" si="16"/>
        <v>0</v>
      </c>
      <c r="I109" s="284">
        <f t="shared" ca="1" si="17"/>
        <v>111888</v>
      </c>
      <c r="J109" s="284">
        <f t="shared" ca="1" si="18"/>
        <v>0</v>
      </c>
      <c r="K109" s="285">
        <f t="shared" ca="1" si="19"/>
        <v>111888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25" customHeight="1">
      <c r="A110" s="259"/>
      <c r="B110" s="294">
        <v>9</v>
      </c>
      <c r="C110" s="495" t="s">
        <v>730</v>
      </c>
      <c r="D110" s="281" t="str">
        <f ca="1">IF(ISERROR(OFFSET('HARGA SATUAN'!$D$6,MATCH('RAB Standart'!C110,'HARGA SATUAN'!$C$7:$C$1509,0),0)),"",OFFSET('HARGA SATUAN'!$D$6,MATCH('RAB Standart'!C110,'HARGA SATUAN'!$C$7:$C$1509,0),0))</f>
        <v>JASA</v>
      </c>
      <c r="E110" s="282" t="str">
        <f ca="1">IF(B110="+","Unit",IF(ISERROR(OFFSET('HARGA SATUAN'!$E$6,MATCH('RAB Standart'!C110,'HARGA SATUAN'!$C$7:$C$1509,0),0)),"",OFFSET('HARGA SATUAN'!$E$6,MATCH('RAB Standart'!C110,'HARGA SATUAN'!$C$7:$C$1509,0),0)))</f>
        <v>Unit</v>
      </c>
      <c r="F110" s="291">
        <v>1</v>
      </c>
      <c r="G110" s="283">
        <f ca="1">IF(ISERROR(OFFSET('HARGA SATUAN'!$I$6,MATCH('RAB Standart'!C110,'HARGA SATUAN'!$C$7:$C$1509,0),0)),0,OFFSET('HARGA SATUAN'!$I$6,MATCH('RAB Standart'!C110,'HARGA SATUAN'!$C$7:$C$1509,0),0))</f>
        <v>65400</v>
      </c>
      <c r="H110" s="284">
        <f t="shared" ca="1" si="16"/>
        <v>0</v>
      </c>
      <c r="I110" s="284">
        <f t="shared" ca="1" si="17"/>
        <v>0</v>
      </c>
      <c r="J110" s="284">
        <f t="shared" ca="1" si="18"/>
        <v>65400</v>
      </c>
      <c r="K110" s="285">
        <f t="shared" ca="1" si="19"/>
        <v>65400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25" customHeight="1">
      <c r="A111" s="259"/>
      <c r="B111" s="294"/>
      <c r="C111" s="495"/>
      <c r="D111" s="281" t="str">
        <f ca="1">IF(ISERROR(OFFSET('HARGA SATUAN'!$D$6,MATCH('RAB Standart'!C111,'HARGA SATUAN'!$C$7:$C$1509,0),0)),"",OFFSET('HARGA SATUAN'!$D$6,MATCH('RAB Standart'!C111,'HARGA SATUAN'!$C$7:$C$1509,0),0))</f>
        <v/>
      </c>
      <c r="E111" s="282" t="str">
        <f ca="1">IF(B111="+","Unit",IF(ISERROR(OFFSET('HARGA SATUAN'!$E$6,MATCH('RAB Standart'!C111,'HARGA SATUAN'!$C$7:$C$1509,0),0)),"",OFFSET('HARGA SATUAN'!$E$6,MATCH('RAB Standart'!C111,'HARGA SATUAN'!$C$7:$C$1509,0),0)))</f>
        <v/>
      </c>
      <c r="F111" s="291"/>
      <c r="G111" s="283">
        <f ca="1">IF(ISERROR(OFFSET('HARGA SATUAN'!$I$6,MATCH('RAB Standart'!C111,'HARGA SATUAN'!$C$7:$C$1509,0),0)),0,OFFSET('HARGA SATUAN'!$I$6,MATCH('RAB Standart'!C111,'HARGA SATUAN'!$C$7:$C$1509,0),0))</f>
        <v>0</v>
      </c>
      <c r="H111" s="284">
        <f t="shared" ca="1" si="16"/>
        <v>0</v>
      </c>
      <c r="I111" s="284">
        <f t="shared" ca="1" si="17"/>
        <v>0</v>
      </c>
      <c r="J111" s="284">
        <f t="shared" ca="1" si="18"/>
        <v>0</v>
      </c>
      <c r="K111" s="285">
        <f t="shared" ca="1" si="19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25" customHeight="1">
      <c r="A112" s="259"/>
      <c r="B112" s="294" t="s">
        <v>1008</v>
      </c>
      <c r="C112" s="495" t="s">
        <v>1628</v>
      </c>
      <c r="D112" s="281" t="str">
        <f ca="1">IF(ISERROR(OFFSET('HARGA SATUAN'!$D$6,MATCH('RAB Standart'!C112,'HARGA SATUAN'!$C$7:$C$1509,0),0)),"",OFFSET('HARGA SATUAN'!$D$6,MATCH('RAB Standart'!C112,'HARGA SATUAN'!$C$7:$C$1509,0),0))</f>
        <v/>
      </c>
      <c r="E112" s="282" t="str">
        <f ca="1">IF(B112="+","Unit",IF(ISERROR(OFFSET('HARGA SATUAN'!$E$6,MATCH('RAB Standart'!C112,'HARGA SATUAN'!$C$7:$C$1509,0),0)),"",OFFSET('HARGA SATUAN'!$E$6,MATCH('RAB Standart'!C112,'HARGA SATUAN'!$C$7:$C$1509,0),0)))</f>
        <v>Unit</v>
      </c>
      <c r="F112" s="291">
        <f>25</f>
        <v>25</v>
      </c>
      <c r="G112" s="283">
        <f ca="1">IF(ISERROR(OFFSET('HARGA SATUAN'!$I$6,MATCH('RAB Standart'!C112,'HARGA SATUAN'!$C$7:$C$1509,0),0)),0,OFFSET('HARGA SATUAN'!$I$6,MATCH('RAB Standart'!C112,'HARGA SATUAN'!$C$7:$C$1509,0),0))</f>
        <v>0</v>
      </c>
      <c r="H112" s="284">
        <f t="shared" ca="1" si="16"/>
        <v>0</v>
      </c>
      <c r="I112" s="284">
        <f t="shared" ca="1" si="17"/>
        <v>0</v>
      </c>
      <c r="J112" s="284">
        <f t="shared" ca="1" si="18"/>
        <v>0</v>
      </c>
      <c r="K112" s="285">
        <f t="shared" ca="1" si="19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25" customHeight="1">
      <c r="A113" s="259"/>
      <c r="B113" s="294">
        <v>1</v>
      </c>
      <c r="C113" s="495" t="s">
        <v>77</v>
      </c>
      <c r="D113" s="281" t="str">
        <f ca="1">IF(ISERROR(OFFSET('HARGA SATUAN'!$D$6,MATCH('RAB Standart'!C113,'HARGA SATUAN'!$C$7:$C$1509,0),0)),"",OFFSET('HARGA SATUAN'!$D$6,MATCH('RAB Standart'!C113,'HARGA SATUAN'!$C$7:$C$1509,0),0))</f>
        <v>HDW</v>
      </c>
      <c r="E113" s="282" t="str">
        <f ca="1">IF(B113="+","Unit",IF(ISERROR(OFFSET('HARGA SATUAN'!$E$6,MATCH('RAB Standart'!C113,'HARGA SATUAN'!$C$7:$C$1509,0),0)),"",OFFSET('HARGA SATUAN'!$E$6,MATCH('RAB Standart'!C113,'HARGA SATUAN'!$C$7:$C$1509,0),0)))</f>
        <v>Mtr</v>
      </c>
      <c r="F113" s="291">
        <f>(F69*3)*F112</f>
        <v>75</v>
      </c>
      <c r="G113" s="283">
        <f ca="1">IF(ISERROR(OFFSET('HARGA SATUAN'!$I$6,MATCH('RAB Standart'!C113,'HARGA SATUAN'!$C$7:$C$1509,0),0)),0,OFFSET('HARGA SATUAN'!$I$6,MATCH('RAB Standart'!C113,'HARGA SATUAN'!$C$7:$C$1509,0),0))</f>
        <v>82600</v>
      </c>
      <c r="H113" s="284">
        <f t="shared" ca="1" si="16"/>
        <v>0</v>
      </c>
      <c r="I113" s="284">
        <f t="shared" ca="1" si="17"/>
        <v>6195000</v>
      </c>
      <c r="J113" s="284">
        <f t="shared" ca="1" si="18"/>
        <v>0</v>
      </c>
      <c r="K113" s="285">
        <f t="shared" ca="1" si="19"/>
        <v>6195000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25" customHeight="1">
      <c r="A114" s="259"/>
      <c r="B114" s="294">
        <v>2</v>
      </c>
      <c r="C114" s="495" t="s">
        <v>73</v>
      </c>
      <c r="D114" s="281" t="str">
        <f ca="1">IF(ISERROR(OFFSET('HARGA SATUAN'!$D$6,MATCH('RAB Standart'!C114,'HARGA SATUAN'!$C$7:$C$1509,0),0)),"",OFFSET('HARGA SATUAN'!$D$6,MATCH('RAB Standart'!C114,'HARGA SATUAN'!$C$7:$C$1509,0),0))</f>
        <v>MDU-KD</v>
      </c>
      <c r="E114" s="282" t="str">
        <f ca="1">IF(B114="+","Unit",IF(ISERROR(OFFSET('HARGA SATUAN'!$E$6,MATCH('RAB Standart'!C114,'HARGA SATUAN'!$C$7:$C$1509,0),0)),"",OFFSET('HARGA SATUAN'!$E$6,MATCH('RAB Standart'!C114,'HARGA SATUAN'!$C$7:$C$1509,0),0)))</f>
        <v>Mtr</v>
      </c>
      <c r="F114" s="291">
        <f>(F69*1)*F112</f>
        <v>25</v>
      </c>
      <c r="G114" s="283">
        <f ca="1">IF(ISERROR(OFFSET('HARGA SATUAN'!$I$6,MATCH('RAB Standart'!C114,'HARGA SATUAN'!$C$7:$C$1509,0),0)),0,OFFSET('HARGA SATUAN'!$I$6,MATCH('RAB Standart'!C114,'HARGA SATUAN'!$C$7:$C$1509,0),0))</f>
        <v>94700</v>
      </c>
      <c r="H114" s="284">
        <f t="shared" ca="1" si="16"/>
        <v>2367500</v>
      </c>
      <c r="I114" s="284">
        <f t="shared" ca="1" si="17"/>
        <v>0</v>
      </c>
      <c r="J114" s="284">
        <f t="shared" ca="1" si="18"/>
        <v>0</v>
      </c>
      <c r="K114" s="285">
        <f t="shared" ca="1" si="19"/>
        <v>2367500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4.25" customHeight="1">
      <c r="A115" s="259"/>
      <c r="B115" s="294">
        <v>3</v>
      </c>
      <c r="C115" s="495" t="s">
        <v>57</v>
      </c>
      <c r="D115" s="281" t="str">
        <f ca="1">IF(ISERROR(OFFSET('HARGA SATUAN'!$D$6,MATCH('RAB Standart'!C115,'HARGA SATUAN'!$C$7:$C$1509,0),0)),"",OFFSET('HARGA SATUAN'!$D$6,MATCH('RAB Standart'!C115,'HARGA SATUAN'!$C$7:$C$1509,0),0))</f>
        <v>MDU-KD</v>
      </c>
      <c r="E115" s="282" t="str">
        <f ca="1">IF(B115="+","Unit",IF(ISERROR(OFFSET('HARGA SATUAN'!$E$6,MATCH('RAB Standart'!C115,'HARGA SATUAN'!$C$7:$C$1509,0),0)),"",OFFSET('HARGA SATUAN'!$E$6,MATCH('RAB Standart'!C115,'HARGA SATUAN'!$C$7:$C$1509,0),0)))</f>
        <v>Mtr</v>
      </c>
      <c r="F115" s="291">
        <f>F69*12</f>
        <v>12</v>
      </c>
      <c r="G115" s="283">
        <f ca="1">IF(ISERROR(OFFSET('HARGA SATUAN'!$I$6,MATCH('RAB Standart'!C115,'HARGA SATUAN'!$C$7:$C$1509,0),0)),0,OFFSET('HARGA SATUAN'!$I$6,MATCH('RAB Standart'!C115,'HARGA SATUAN'!$C$7:$C$1509,0),0))</f>
        <v>14200</v>
      </c>
      <c r="H115" s="284">
        <f t="shared" ca="1" si="16"/>
        <v>170400</v>
      </c>
      <c r="I115" s="284">
        <f t="shared" ca="1" si="17"/>
        <v>0</v>
      </c>
      <c r="J115" s="284">
        <f t="shared" ca="1" si="18"/>
        <v>0</v>
      </c>
      <c r="K115" s="285">
        <f t="shared" ca="1" si="19"/>
        <v>170400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25" customHeight="1">
      <c r="A116" s="259"/>
      <c r="B116" s="294">
        <v>4</v>
      </c>
      <c r="C116" s="495" t="s">
        <v>173</v>
      </c>
      <c r="D116" s="281" t="str">
        <f ca="1">IF(ISERROR(OFFSET('HARGA SATUAN'!$D$6,MATCH('RAB Standart'!C116,'HARGA SATUAN'!$C$7:$C$1509,0),0)),"",OFFSET('HARGA SATUAN'!$D$6,MATCH('RAB Standart'!C116,'HARGA SATUAN'!$C$7:$C$1509,0),0))</f>
        <v>HDW</v>
      </c>
      <c r="E116" s="282" t="str">
        <f ca="1">IF(B116="+","Unit",IF(ISERROR(OFFSET('HARGA SATUAN'!$E$6,MATCH('RAB Standart'!C116,'HARGA SATUAN'!$C$7:$C$1509,0),0)),"",OFFSET('HARGA SATUAN'!$E$6,MATCH('RAB Standart'!C116,'HARGA SATUAN'!$C$7:$C$1509,0),0)))</f>
        <v>Bh</v>
      </c>
      <c r="F116" s="291">
        <f>F69*3</f>
        <v>3</v>
      </c>
      <c r="G116" s="283">
        <f ca="1">IF(ISERROR(OFFSET('HARGA SATUAN'!$I$6,MATCH('RAB Standart'!C116,'HARGA SATUAN'!$C$7:$C$1509,0),0)),0,OFFSET('HARGA SATUAN'!$I$6,MATCH('RAB Standart'!C116,'HARGA SATUAN'!$C$7:$C$1509,0),0))</f>
        <v>37700</v>
      </c>
      <c r="H116" s="284">
        <f t="shared" ca="1" si="16"/>
        <v>0</v>
      </c>
      <c r="I116" s="284">
        <f t="shared" ca="1" si="17"/>
        <v>113100</v>
      </c>
      <c r="J116" s="284">
        <f t="shared" ca="1" si="18"/>
        <v>0</v>
      </c>
      <c r="K116" s="285">
        <f t="shared" ca="1" si="19"/>
        <v>113100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25" customHeight="1">
      <c r="A117" s="259"/>
      <c r="B117" s="294">
        <v>5</v>
      </c>
      <c r="C117" s="495" t="s">
        <v>1657</v>
      </c>
      <c r="D117" s="281" t="s">
        <v>37</v>
      </c>
      <c r="E117" s="282" t="s">
        <v>14</v>
      </c>
      <c r="F117" s="291">
        <f>F69*1</f>
        <v>1</v>
      </c>
      <c r="G117" s="283">
        <v>5488400</v>
      </c>
      <c r="H117" s="284">
        <f t="shared" si="16"/>
        <v>0</v>
      </c>
      <c r="I117" s="284">
        <f t="shared" si="17"/>
        <v>5488400</v>
      </c>
      <c r="J117" s="284">
        <f t="shared" si="18"/>
        <v>0</v>
      </c>
      <c r="K117" s="285">
        <f t="shared" si="19"/>
        <v>5488400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25" customHeight="1">
      <c r="A118" s="259"/>
      <c r="B118" s="294">
        <v>6</v>
      </c>
      <c r="C118" s="495" t="s">
        <v>1658</v>
      </c>
      <c r="D118" s="281" t="s">
        <v>37</v>
      </c>
      <c r="E118" s="282" t="s">
        <v>14</v>
      </c>
      <c r="F118" s="291">
        <f>(F69*1)</f>
        <v>1</v>
      </c>
      <c r="G118" s="283">
        <v>6240400</v>
      </c>
      <c r="H118" s="284">
        <f t="shared" si="16"/>
        <v>0</v>
      </c>
      <c r="I118" s="284">
        <f t="shared" si="17"/>
        <v>6240400</v>
      </c>
      <c r="J118" s="284">
        <f t="shared" si="18"/>
        <v>0</v>
      </c>
      <c r="K118" s="285">
        <f t="shared" si="19"/>
        <v>6240400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25" customHeight="1">
      <c r="A119" s="259"/>
      <c r="B119" s="294">
        <v>7</v>
      </c>
      <c r="C119" s="495" t="s">
        <v>574</v>
      </c>
      <c r="D119" s="281" t="str">
        <f ca="1">IF(ISERROR(OFFSET('HARGA SATUAN'!$D$6,MATCH('RAB Standart'!C119,'HARGA SATUAN'!$C$7:$C$1509,0),0)),"",OFFSET('HARGA SATUAN'!$D$6,MATCH('RAB Standart'!C119,'HARGA SATUAN'!$C$7:$C$1509,0),0))</f>
        <v>HDW</v>
      </c>
      <c r="E119" s="282" t="str">
        <f ca="1">IF(B119="+","Unit",IF(ISERROR(OFFSET('HARGA SATUAN'!$E$6,MATCH('RAB Standart'!C119,'HARGA SATUAN'!$C$7:$C$1509,0),0)),"",OFFSET('HARGA SATUAN'!$E$6,MATCH('RAB Standart'!C119,'HARGA SATUAN'!$C$7:$C$1509,0),0)))</f>
        <v>Bh</v>
      </c>
      <c r="F119" s="291">
        <f>(F69*3)</f>
        <v>3</v>
      </c>
      <c r="G119" s="283">
        <f ca="1">IF(ISERROR(OFFSET('HARGA SATUAN'!$I$6,MATCH('RAB Standart'!C119,'HARGA SATUAN'!$C$7:$C$1509,0),0)),0,OFFSET('HARGA SATUAN'!$I$6,MATCH('RAB Standart'!C119,'HARGA SATUAN'!$C$7:$C$1509,0),0))</f>
        <v>49000</v>
      </c>
      <c r="H119" s="284">
        <f t="shared" ca="1" si="16"/>
        <v>0</v>
      </c>
      <c r="I119" s="284">
        <f t="shared" ca="1" si="17"/>
        <v>147000</v>
      </c>
      <c r="J119" s="284">
        <f t="shared" ca="1" si="18"/>
        <v>0</v>
      </c>
      <c r="K119" s="285">
        <f t="shared" ca="1" si="19"/>
        <v>147000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25" customHeight="1">
      <c r="A120" s="259"/>
      <c r="B120" s="294">
        <v>8</v>
      </c>
      <c r="C120" s="495" t="s">
        <v>1543</v>
      </c>
      <c r="D120" s="281" t="str">
        <f ca="1">IF(ISERROR(OFFSET('HARGA SATUAN'!$D$6,MATCH('RAB Standart'!C120,'HARGA SATUAN'!$C$7:$C$1509,0),0)),"",OFFSET('HARGA SATUAN'!$D$6,MATCH('RAB Standart'!C120,'HARGA SATUAN'!$C$7:$C$1509,0),0))</f>
        <v>HDW</v>
      </c>
      <c r="E120" s="282" t="str">
        <f ca="1">IF(B120="+","Unit",IF(ISERROR(OFFSET('HARGA SATUAN'!$E$6,MATCH('RAB Standart'!C120,'HARGA SATUAN'!$C$7:$C$1509,0),0)),"",OFFSET('HARGA SATUAN'!$E$6,MATCH('RAB Standart'!C120,'HARGA SATUAN'!$C$7:$C$1509,0),0)))</f>
        <v>Bh</v>
      </c>
      <c r="F120" s="291">
        <f>(F69*3)*3</f>
        <v>9</v>
      </c>
      <c r="G120" s="283">
        <f ca="1">IF(ISERROR(OFFSET('HARGA SATUAN'!$I$6,MATCH('RAB Standart'!C120,'HARGA SATUAN'!$C$7:$C$1509,0),0)),0,OFFSET('HARGA SATUAN'!$I$6,MATCH('RAB Standart'!C120,'HARGA SATUAN'!$C$7:$C$1509,0),0))</f>
        <v>73300</v>
      </c>
      <c r="H120" s="284">
        <f t="shared" ca="1" si="16"/>
        <v>0</v>
      </c>
      <c r="I120" s="284">
        <f t="shared" ca="1" si="17"/>
        <v>659700</v>
      </c>
      <c r="J120" s="284">
        <f t="shared" ca="1" si="18"/>
        <v>0</v>
      </c>
      <c r="K120" s="285">
        <f t="shared" ca="1" si="19"/>
        <v>659700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25" customHeight="1">
      <c r="A121" s="259"/>
      <c r="B121" s="294">
        <v>9</v>
      </c>
      <c r="C121" s="495" t="s">
        <v>28</v>
      </c>
      <c r="D121" s="281" t="str">
        <f ca="1">IF(ISERROR(OFFSET('HARGA SATUAN'!$D$6,MATCH('RAB Standart'!C121,'HARGA SATUAN'!$C$7:$C$1509,0),0)),"",OFFSET('HARGA SATUAN'!$D$6,MATCH('RAB Standart'!C121,'HARGA SATUAN'!$C$7:$C$1509,0),0))</f>
        <v>HDW</v>
      </c>
      <c r="E121" s="282" t="str">
        <f ca="1">IF(B121="+","Unit",IF(ISERROR(OFFSET('HARGA SATUAN'!$E$6,MATCH('RAB Standart'!C121,'HARGA SATUAN'!$C$7:$C$1509,0),0)),"",OFFSET('HARGA SATUAN'!$E$6,MATCH('RAB Standart'!C121,'HARGA SATUAN'!$C$7:$C$1509,0),0)))</f>
        <v>Bh</v>
      </c>
      <c r="F121" s="291">
        <f>F69*2</f>
        <v>2</v>
      </c>
      <c r="G121" s="283">
        <f ca="1">IF(ISERROR(OFFSET('HARGA SATUAN'!$I$6,MATCH('RAB Standart'!C121,'HARGA SATUAN'!$C$7:$C$1509,0),0)),0,OFFSET('HARGA SATUAN'!$I$6,MATCH('RAB Standart'!C121,'HARGA SATUAN'!$C$7:$C$1509,0),0))</f>
        <v>63500</v>
      </c>
      <c r="H121" s="284">
        <f t="shared" ca="1" si="16"/>
        <v>0</v>
      </c>
      <c r="I121" s="284">
        <f t="shared" ca="1" si="17"/>
        <v>127000</v>
      </c>
      <c r="J121" s="284">
        <f t="shared" ca="1" si="18"/>
        <v>0</v>
      </c>
      <c r="K121" s="285">
        <f t="shared" ca="1" si="19"/>
        <v>127000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25" customHeight="1">
      <c r="A122" s="259"/>
      <c r="B122" s="294">
        <v>10</v>
      </c>
      <c r="C122" s="495" t="s">
        <v>259</v>
      </c>
      <c r="D122" s="281" t="str">
        <f ca="1">IF(ISERROR(OFFSET('HARGA SATUAN'!$D$6,MATCH('RAB Standart'!C122,'HARGA SATUAN'!$C$7:$C$1509,0),0)),"",OFFSET('HARGA SATUAN'!$D$6,MATCH('RAB Standart'!C122,'HARGA SATUAN'!$C$7:$C$1509,0),0))</f>
        <v>HDW</v>
      </c>
      <c r="E122" s="282" t="str">
        <f ca="1">IF(B122="+","Unit",IF(ISERROR(OFFSET('HARGA SATUAN'!$E$6,MATCH('RAB Standart'!C122,'HARGA SATUAN'!$C$7:$C$1509,0),0)),"",OFFSET('HARGA SATUAN'!$E$6,MATCH('RAB Standart'!C122,'HARGA SATUAN'!$C$7:$C$1509,0),0)))</f>
        <v>Mtr</v>
      </c>
      <c r="F122" s="291">
        <f>F69*3</f>
        <v>3</v>
      </c>
      <c r="G122" s="283">
        <f ca="1">IF(ISERROR(OFFSET('HARGA SATUAN'!$I$6,MATCH('RAB Standart'!C122,'HARGA SATUAN'!$C$7:$C$1509,0),0)),0,OFFSET('HARGA SATUAN'!$I$6,MATCH('RAB Standart'!C122,'HARGA SATUAN'!$C$7:$C$1509,0),0))</f>
        <v>23310</v>
      </c>
      <c r="H122" s="284">
        <f t="shared" ca="1" si="16"/>
        <v>0</v>
      </c>
      <c r="I122" s="284">
        <f t="shared" ca="1" si="17"/>
        <v>69930</v>
      </c>
      <c r="J122" s="284">
        <f t="shared" ca="1" si="18"/>
        <v>0</v>
      </c>
      <c r="K122" s="285">
        <f t="shared" ca="1" si="19"/>
        <v>69930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25" customHeight="1">
      <c r="A123" s="259"/>
      <c r="B123" s="294">
        <v>11</v>
      </c>
      <c r="C123" s="495" t="s">
        <v>25</v>
      </c>
      <c r="D123" s="281" t="str">
        <f ca="1">IF(ISERROR(OFFSET('HARGA SATUAN'!$D$6,MATCH('RAB Standart'!C123,'HARGA SATUAN'!$C$7:$C$1509,0),0)),"",OFFSET('HARGA SATUAN'!$D$6,MATCH('RAB Standart'!C123,'HARGA SATUAN'!$C$7:$C$1509,0),0))</f>
        <v>HDW</v>
      </c>
      <c r="E123" s="282" t="str">
        <f ca="1">IF(B123="+","Unit",IF(ISERROR(OFFSET('HARGA SATUAN'!$E$6,MATCH('RAB Standart'!C123,'HARGA SATUAN'!$C$7:$C$1509,0),0)),"",OFFSET('HARGA SATUAN'!$E$6,MATCH('RAB Standart'!C123,'HARGA SATUAN'!$C$7:$C$1509,0),0)))</f>
        <v>Bh</v>
      </c>
      <c r="F123" s="291">
        <f>F69*3</f>
        <v>3</v>
      </c>
      <c r="G123" s="283">
        <f ca="1">IF(ISERROR(OFFSET('HARGA SATUAN'!$I$6,MATCH('RAB Standart'!C123,'HARGA SATUAN'!$C$7:$C$1509,0),0)),0,OFFSET('HARGA SATUAN'!$I$6,MATCH('RAB Standart'!C123,'HARGA SATUAN'!$C$7:$C$1509,0),0))</f>
        <v>2300</v>
      </c>
      <c r="H123" s="284">
        <f t="shared" ca="1" si="16"/>
        <v>0</v>
      </c>
      <c r="I123" s="284">
        <f t="shared" ca="1" si="17"/>
        <v>6900</v>
      </c>
      <c r="J123" s="284">
        <f t="shared" ca="1" si="18"/>
        <v>0</v>
      </c>
      <c r="K123" s="285">
        <f t="shared" ca="1" si="19"/>
        <v>6900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25" customHeight="1">
      <c r="A124" s="259"/>
      <c r="B124" s="294">
        <v>12</v>
      </c>
      <c r="C124" s="495" t="s">
        <v>16</v>
      </c>
      <c r="D124" s="281" t="str">
        <f ca="1">IF(ISERROR(OFFSET('HARGA SATUAN'!$D$6,MATCH('RAB Standart'!C124,'HARGA SATUAN'!$C$7:$C$1509,0),0)),"",OFFSET('HARGA SATUAN'!$D$6,MATCH('RAB Standart'!C124,'HARGA SATUAN'!$C$7:$C$1509,0),0))</f>
        <v>HDW</v>
      </c>
      <c r="E124" s="282" t="str">
        <f ca="1">IF(B124="+","Unit",IF(ISERROR(OFFSET('HARGA SATUAN'!$E$6,MATCH('RAB Standart'!C124,'HARGA SATUAN'!$C$7:$C$1509,0),0)),"",OFFSET('HARGA SATUAN'!$E$6,MATCH('RAB Standart'!C124,'HARGA SATUAN'!$C$7:$C$1509,0),0)))</f>
        <v>Bh</v>
      </c>
      <c r="F124" s="291">
        <f>F69*4</f>
        <v>4</v>
      </c>
      <c r="G124" s="283">
        <f ca="1">IF(ISERROR(OFFSET('HARGA SATUAN'!$I$6,MATCH('RAB Standart'!C124,'HARGA SATUAN'!$C$7:$C$1509,0),0)),0,OFFSET('HARGA SATUAN'!$I$6,MATCH('RAB Standart'!C124,'HARGA SATUAN'!$C$7:$C$1509,0),0))</f>
        <v>2500</v>
      </c>
      <c r="H124" s="284">
        <f t="shared" ca="1" si="16"/>
        <v>0</v>
      </c>
      <c r="I124" s="284">
        <f t="shared" ca="1" si="17"/>
        <v>10000</v>
      </c>
      <c r="J124" s="284">
        <f t="shared" ca="1" si="18"/>
        <v>0</v>
      </c>
      <c r="K124" s="285">
        <f t="shared" ca="1" si="19"/>
        <v>10000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25" customHeight="1">
      <c r="A125" s="259"/>
      <c r="B125" s="294">
        <v>13</v>
      </c>
      <c r="C125" s="495" t="s">
        <v>465</v>
      </c>
      <c r="D125" s="281" t="str">
        <f ca="1">IF(ISERROR(OFFSET('HARGA SATUAN'!$D$6,MATCH('RAB Standart'!C125,'HARGA SATUAN'!$C$7:$C$1509,0),0)),"",OFFSET('HARGA SATUAN'!$D$6,MATCH('RAB Standart'!C125,'HARGA SATUAN'!$C$7:$C$1509,0),0))</f>
        <v>HDW</v>
      </c>
      <c r="E125" s="282" t="str">
        <f ca="1">IF(B125="+","Unit",IF(ISERROR(OFFSET('HARGA SATUAN'!$E$6,MATCH('RAB Standart'!C125,'HARGA SATUAN'!$C$7:$C$1509,0),0)),"",OFFSET('HARGA SATUAN'!$E$6,MATCH('RAB Standart'!C125,'HARGA SATUAN'!$C$7:$C$1509,0),0)))</f>
        <v>Bh</v>
      </c>
      <c r="F125" s="291">
        <f>F69*2</f>
        <v>2</v>
      </c>
      <c r="G125" s="283">
        <f ca="1">IF(ISERROR(OFFSET('HARGA SATUAN'!$I$6,MATCH('RAB Standart'!C125,'HARGA SATUAN'!$C$7:$C$1509,0),0)),0,OFFSET('HARGA SATUAN'!$I$6,MATCH('RAB Standart'!C125,'HARGA SATUAN'!$C$7:$C$1509,0),0))</f>
        <v>680475</v>
      </c>
      <c r="H125" s="284">
        <f t="shared" ca="1" si="16"/>
        <v>0</v>
      </c>
      <c r="I125" s="284">
        <f t="shared" ca="1" si="17"/>
        <v>1360950</v>
      </c>
      <c r="J125" s="284">
        <f t="shared" ca="1" si="18"/>
        <v>0</v>
      </c>
      <c r="K125" s="285">
        <f t="shared" ca="1" si="19"/>
        <v>1360950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25" customHeight="1">
      <c r="A126" s="259"/>
      <c r="B126" s="294">
        <v>14</v>
      </c>
      <c r="C126" s="495" t="s">
        <v>1629</v>
      </c>
      <c r="D126" s="281" t="str">
        <f ca="1">IF(ISERROR(OFFSET('HARGA SATUAN'!$D$6,MATCH('RAB Standart'!C126,'HARGA SATUAN'!$C$7:$C$1509,0),0)),"",OFFSET('HARGA SATUAN'!$D$6,MATCH('RAB Standart'!C126,'HARGA SATUAN'!$C$7:$C$1509,0),0))</f>
        <v>HDW</v>
      </c>
      <c r="E126" s="282" t="str">
        <f ca="1">IF(B126="+","Unit",IF(ISERROR(OFFSET('HARGA SATUAN'!$E$6,MATCH('RAB Standart'!C126,'HARGA SATUAN'!$C$7:$C$1509,0),0)),"",OFFSET('HARGA SATUAN'!$E$6,MATCH('RAB Standart'!C126,'HARGA SATUAN'!$C$7:$C$1509,0),0)))</f>
        <v>Bh</v>
      </c>
      <c r="F126" s="291">
        <f>F69*1</f>
        <v>1</v>
      </c>
      <c r="G126" s="283">
        <f ca="1">IF(ISERROR(OFFSET('HARGA SATUAN'!$I$6,MATCH('RAB Standart'!C126,'HARGA SATUAN'!$C$7:$C$1509,0),0)),0,OFFSET('HARGA SATUAN'!$I$6,MATCH('RAB Standart'!C126,'HARGA SATUAN'!$C$7:$C$1509,0),0))</f>
        <v>25100</v>
      </c>
      <c r="H126" s="284">
        <f t="shared" ca="1" si="16"/>
        <v>0</v>
      </c>
      <c r="I126" s="284">
        <f t="shared" ca="1" si="17"/>
        <v>25100</v>
      </c>
      <c r="J126" s="284">
        <f t="shared" ca="1" si="18"/>
        <v>0</v>
      </c>
      <c r="K126" s="285">
        <f t="shared" ca="1" si="19"/>
        <v>25100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25" customHeight="1">
      <c r="A127" s="259"/>
      <c r="B127" s="294">
        <v>15</v>
      </c>
      <c r="C127" s="495" t="s">
        <v>287</v>
      </c>
      <c r="D127" s="281" t="str">
        <f ca="1">IF(ISERROR(OFFSET('HARGA SATUAN'!$D$6,MATCH('RAB Standart'!C127,'HARGA SATUAN'!$C$7:$C$1509,0),0)),"",OFFSET('HARGA SATUAN'!$D$6,MATCH('RAB Standart'!C127,'HARGA SATUAN'!$C$7:$C$1509,0),0))</f>
        <v>HDW</v>
      </c>
      <c r="E127" s="282" t="str">
        <f ca="1">IF(B127="+","Unit",IF(ISERROR(OFFSET('HARGA SATUAN'!$E$6,MATCH('RAB Standart'!C127,'HARGA SATUAN'!$C$7:$C$1509,0),0)),"",OFFSET('HARGA SATUAN'!$E$6,MATCH('RAB Standart'!C127,'HARGA SATUAN'!$C$7:$C$1509,0),0)))</f>
        <v>Bh</v>
      </c>
      <c r="F127" s="291">
        <f>F69*4</f>
        <v>4</v>
      </c>
      <c r="G127" s="283">
        <f ca="1">IF(ISERROR(OFFSET('HARGA SATUAN'!$I$6,MATCH('RAB Standart'!C127,'HARGA SATUAN'!$C$7:$C$1509,0),0)),0,OFFSET('HARGA SATUAN'!$I$6,MATCH('RAB Standart'!C127,'HARGA SATUAN'!$C$7:$C$1509,0),0))</f>
        <v>12500</v>
      </c>
      <c r="H127" s="284">
        <f t="shared" ca="1" si="16"/>
        <v>0</v>
      </c>
      <c r="I127" s="284">
        <f t="shared" ca="1" si="17"/>
        <v>50000</v>
      </c>
      <c r="J127" s="284">
        <f t="shared" ca="1" si="18"/>
        <v>0</v>
      </c>
      <c r="K127" s="285">
        <f t="shared" ca="1" si="19"/>
        <v>50000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25" customHeight="1">
      <c r="A128" s="259"/>
      <c r="B128" s="294">
        <v>16</v>
      </c>
      <c r="C128" s="495" t="s">
        <v>609</v>
      </c>
      <c r="D128" s="281" t="str">
        <f ca="1">IF(ISERROR(OFFSET('HARGA SATUAN'!$D$6,MATCH('RAB Standart'!C128,'HARGA SATUAN'!$C$7:$C$1509,0),0)),"",OFFSET('HARGA SATUAN'!$D$6,MATCH('RAB Standart'!C128,'HARGA SATUAN'!$C$7:$C$1509,0),0))</f>
        <v>HDW</v>
      </c>
      <c r="E128" s="282" t="str">
        <f ca="1">IF(B128="+","Unit",IF(ISERROR(OFFSET('HARGA SATUAN'!$E$6,MATCH('RAB Standart'!C128,'HARGA SATUAN'!$C$7:$C$1509,0),0)),"",OFFSET('HARGA SATUAN'!$E$6,MATCH('RAB Standart'!C128,'HARGA SATUAN'!$C$7:$C$1509,0),0)))</f>
        <v>Bh</v>
      </c>
      <c r="F128" s="291">
        <f>F69*3</f>
        <v>3</v>
      </c>
      <c r="G128" s="283">
        <f ca="1">IF(ISERROR(OFFSET('HARGA SATUAN'!$I$6,MATCH('RAB Standart'!C128,'HARGA SATUAN'!$C$7:$C$1509,0),0)),0,OFFSET('HARGA SATUAN'!$I$6,MATCH('RAB Standart'!C128,'HARGA SATUAN'!$C$7:$C$1509,0),0))</f>
        <v>8900</v>
      </c>
      <c r="H128" s="284">
        <f t="shared" ca="1" si="16"/>
        <v>0</v>
      </c>
      <c r="I128" s="284">
        <f t="shared" ca="1" si="17"/>
        <v>26700</v>
      </c>
      <c r="J128" s="284">
        <f t="shared" ca="1" si="18"/>
        <v>0</v>
      </c>
      <c r="K128" s="285">
        <f t="shared" ca="1" si="19"/>
        <v>26700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25" customHeight="1">
      <c r="A129" s="259"/>
      <c r="B129" s="294">
        <v>17</v>
      </c>
      <c r="C129" s="495" t="s">
        <v>788</v>
      </c>
      <c r="D129" s="281" t="str">
        <f ca="1">IF(ISERROR(OFFSET('HARGA SATUAN'!$D$6,MATCH('RAB Standart'!C129,'HARGA SATUAN'!$C$7:$C$1509,0),0)),"",OFFSET('HARGA SATUAN'!$D$6,MATCH('RAB Standart'!C129,'HARGA SATUAN'!$C$7:$C$1509,0),0))</f>
        <v>JASA</v>
      </c>
      <c r="E129" s="282" t="str">
        <f ca="1">IF(B129="+","Unit",IF(ISERROR(OFFSET('HARGA SATUAN'!$E$6,MATCH('RAB Standart'!C129,'HARGA SATUAN'!$C$7:$C$1509,0),0)),"",OFFSET('HARGA SATUAN'!$E$6,MATCH('RAB Standart'!C129,'HARGA SATUAN'!$C$7:$C$1509,0),0)))</f>
        <v>Per 1 m</v>
      </c>
      <c r="F129" s="291">
        <f>F113/3</f>
        <v>25</v>
      </c>
      <c r="G129" s="283">
        <f ca="1">IF(ISERROR(OFFSET('HARGA SATUAN'!$I$6,MATCH('RAB Standart'!C129,'HARGA SATUAN'!$C$7:$C$1509,0),0)),0,OFFSET('HARGA SATUAN'!$I$6,MATCH('RAB Standart'!C129,'HARGA SATUAN'!$C$7:$C$1509,0),0))</f>
        <v>20100</v>
      </c>
      <c r="H129" s="284">
        <f t="shared" ca="1" si="16"/>
        <v>0</v>
      </c>
      <c r="I129" s="284">
        <f t="shared" ca="1" si="17"/>
        <v>0</v>
      </c>
      <c r="J129" s="284">
        <f t="shared" ca="1" si="18"/>
        <v>502500</v>
      </c>
      <c r="K129" s="285">
        <f t="shared" ca="1" si="19"/>
        <v>502500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25" customHeight="1">
      <c r="A130" s="259"/>
      <c r="B130" s="294">
        <v>18</v>
      </c>
      <c r="C130" s="495" t="s">
        <v>785</v>
      </c>
      <c r="D130" s="281" t="str">
        <f ca="1">IF(ISERROR(OFFSET('HARGA SATUAN'!$D$6,MATCH('RAB Standart'!C130,'HARGA SATUAN'!$C$7:$C$1509,0),0)),"",OFFSET('HARGA SATUAN'!$D$6,MATCH('RAB Standart'!C130,'HARGA SATUAN'!$C$7:$C$1509,0),0))</f>
        <v>JASA</v>
      </c>
      <c r="E130" s="282" t="str">
        <f ca="1">IF(B130="+","Unit",IF(ISERROR(OFFSET('HARGA SATUAN'!$E$6,MATCH('RAB Standart'!C130,'HARGA SATUAN'!$C$7:$C$1509,0),0)),"",OFFSET('HARGA SATUAN'!$E$6,MATCH('RAB Standart'!C130,'HARGA SATUAN'!$C$7:$C$1509,0),0)))</f>
        <v>Per 1 m</v>
      </c>
      <c r="F130" s="291">
        <f>F114</f>
        <v>25</v>
      </c>
      <c r="G130" s="283">
        <f ca="1">IF(ISERROR(OFFSET('HARGA SATUAN'!$I$6,MATCH('RAB Standart'!C130,'HARGA SATUAN'!$C$7:$C$1509,0),0)),0,OFFSET('HARGA SATUAN'!$I$6,MATCH('RAB Standart'!C130,'HARGA SATUAN'!$C$7:$C$1509,0),0))</f>
        <v>700</v>
      </c>
      <c r="H130" s="284">
        <f t="shared" ca="1" si="16"/>
        <v>0</v>
      </c>
      <c r="I130" s="284">
        <f t="shared" ca="1" si="17"/>
        <v>0</v>
      </c>
      <c r="J130" s="284">
        <f t="shared" ca="1" si="18"/>
        <v>17500</v>
      </c>
      <c r="K130" s="285">
        <f t="shared" ca="1" si="19"/>
        <v>17500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25" customHeight="1">
      <c r="A131" s="259"/>
      <c r="B131" s="294">
        <v>19</v>
      </c>
      <c r="C131" s="495" t="s">
        <v>1659</v>
      </c>
      <c r="D131" s="281" t="s">
        <v>39</v>
      </c>
      <c r="E131" s="282" t="s">
        <v>11</v>
      </c>
      <c r="F131" s="291">
        <f>1*F69</f>
        <v>1</v>
      </c>
      <c r="G131" s="283">
        <v>569629.99903164257</v>
      </c>
      <c r="H131" s="284">
        <f t="shared" si="16"/>
        <v>0</v>
      </c>
      <c r="I131" s="284">
        <f t="shared" si="17"/>
        <v>0</v>
      </c>
      <c r="J131" s="284">
        <f t="shared" si="18"/>
        <v>569629.99903164257</v>
      </c>
      <c r="K131" s="285">
        <f t="shared" si="19"/>
        <v>569629.99903164257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25" customHeight="1">
      <c r="A132" s="259"/>
      <c r="B132" s="294">
        <v>20</v>
      </c>
      <c r="C132" s="495" t="s">
        <v>1660</v>
      </c>
      <c r="D132" s="281" t="s">
        <v>39</v>
      </c>
      <c r="E132" s="282" t="s">
        <v>11</v>
      </c>
      <c r="F132" s="291">
        <f>F69*1</f>
        <v>1</v>
      </c>
      <c r="G132" s="283">
        <v>659799.30669751228</v>
      </c>
      <c r="H132" s="284">
        <f t="shared" si="16"/>
        <v>0</v>
      </c>
      <c r="I132" s="284">
        <f t="shared" si="17"/>
        <v>0</v>
      </c>
      <c r="J132" s="284">
        <f t="shared" si="18"/>
        <v>659799.30669751228</v>
      </c>
      <c r="K132" s="285">
        <f t="shared" si="19"/>
        <v>659799.30669751228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>
        <f>IF(AND(C133=0,C134=0,C135=0),"BLANKS",1)</f>
        <v>1</v>
      </c>
      <c r="B133" s="525"/>
      <c r="C133" s="526"/>
      <c r="D133" s="281" t="str">
        <f ca="1">IF(ISERROR(OFFSET('HARGA SATUAN'!$D$6,MATCH('RAB Standart'!C133,'HARGA SATUAN'!$C$7:$C$1509,0),0)),"",OFFSET('HARGA SATUAN'!$D$6,MATCH('RAB Standart'!C133,'HARGA SATUAN'!$C$7:$C$1509,0),0))</f>
        <v/>
      </c>
      <c r="E133" s="282" t="str">
        <f ca="1">IF(B133="+","Unit",IF(ISERROR(OFFSET('HARGA SATUAN'!$E$6,MATCH('RAB Standart'!C133,'HARGA SATUAN'!$C$7:$C$1509,0),0)),"",OFFSET('HARGA SATUAN'!$E$6,MATCH('RAB Standart'!C133,'HARGA SATUAN'!$C$7:$C$1509,0),0)))</f>
        <v/>
      </c>
      <c r="F133" s="295"/>
      <c r="G133" s="283">
        <f ca="1">IF(ISERROR(OFFSET('HARGA SATUAN'!$I$6,MATCH('RAB Standart'!C133,'HARGA SATUAN'!$C$7:$C$1509,0),0)),0,OFFSET('HARGA SATUAN'!$I$6,MATCH('RAB Standart'!C133,'HARGA SATUAN'!$C$7:$C$1509,0),0))</f>
        <v>0</v>
      </c>
      <c r="H133" s="284">
        <f t="shared" ca="1" si="16"/>
        <v>0</v>
      </c>
      <c r="I133" s="284">
        <f t="shared" ca="1" si="17"/>
        <v>0</v>
      </c>
      <c r="J133" s="284">
        <f t="shared" ca="1" si="18"/>
        <v>0</v>
      </c>
      <c r="K133" s="285">
        <f t="shared" ca="1" si="19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5" customHeight="1">
      <c r="A134" s="259" t="e">
        <f>IF(AND(C134=0,C135=0,#REF!=0),"BLANKS",1)</f>
        <v>#REF!</v>
      </c>
      <c r="B134" s="292" t="s">
        <v>1627</v>
      </c>
      <c r="C134" s="293" t="s">
        <v>1672</v>
      </c>
      <c r="D134" s="281" t="str">
        <f ca="1">IF(ISERROR(OFFSET('HARGA SATUAN'!$D$6,MATCH('RAB Standart'!C134,'HARGA SATUAN'!$C$7:$C$1509,0),0)),"",OFFSET('HARGA SATUAN'!$D$6,MATCH('RAB Standart'!C134,'HARGA SATUAN'!$C$7:$C$1509,0),0))</f>
        <v/>
      </c>
      <c r="E134" s="282" t="str">
        <f ca="1">IF(B134="+","Unit",IF(ISERROR(OFFSET('HARGA SATUAN'!$E$6,MATCH('RAB Standart'!C134,'HARGA SATUAN'!$C$7:$C$1509,0),0)),"",OFFSET('HARGA SATUAN'!$E$6,MATCH('RAB Standart'!C134,'HARGA SATUAN'!$C$7:$C$1509,0),0)))</f>
        <v/>
      </c>
      <c r="F134" s="295"/>
      <c r="G134" s="283">
        <f ca="1">IF(ISERROR(OFFSET('HARGA SATUAN'!$I$6,MATCH('RAB Standart'!C134,'HARGA SATUAN'!$C$7:$C$1509,0),0)),0,OFFSET('HARGA SATUAN'!$I$6,MATCH('RAB Standart'!C134,'HARGA SATUAN'!$C$7:$C$1509,0),0))</f>
        <v>0</v>
      </c>
      <c r="H134" s="284">
        <f t="shared" ca="1" si="16"/>
        <v>0</v>
      </c>
      <c r="I134" s="284">
        <f t="shared" ca="1" si="17"/>
        <v>0</v>
      </c>
      <c r="J134" s="284">
        <f t="shared" ca="1" si="18"/>
        <v>0</v>
      </c>
      <c r="K134" s="285">
        <f t="shared" ca="1" si="19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 t="e">
        <f>IF(AND(C135=0,#REF!=0,#REF!=0),"BLANKS",1)</f>
        <v>#REF!</v>
      </c>
      <c r="B135" s="525">
        <v>1</v>
      </c>
      <c r="C135" s="526" t="s">
        <v>431</v>
      </c>
      <c r="D135" s="281" t="str">
        <f ca="1">IF(ISERROR(OFFSET('HARGA SATUAN'!$D$6,MATCH('RAB Standart'!C135,'HARGA SATUAN'!$C$7:$C$1509,0),0)),"",OFFSET('HARGA SATUAN'!$D$6,MATCH('RAB Standart'!C135,'HARGA SATUAN'!$C$7:$C$1509,0),0))</f>
        <v>JASA</v>
      </c>
      <c r="E135" s="282" t="str">
        <f ca="1">IF(B135="+","Unit",IF(ISERROR(OFFSET('HARGA SATUAN'!$E$6,MATCH('RAB Standart'!C135,'HARGA SATUAN'!$C$7:$C$1509,0),0)),"",OFFSET('HARGA SATUAN'!$E$6,MATCH('RAB Standart'!C135,'HARGA SATUAN'!$C$7:$C$1509,0),0)))</f>
        <v>Btg</v>
      </c>
      <c r="F135" s="295">
        <v>1</v>
      </c>
      <c r="G135" s="283">
        <f ca="1">IF(ISERROR(OFFSET('HARGA SATUAN'!$I$6,MATCH('RAB Standart'!C135,'HARGA SATUAN'!$C$7:$C$1509,0),0)),0,OFFSET('HARGA SATUAN'!$I$6,MATCH('RAB Standart'!C135,'HARGA SATUAN'!$C$7:$C$1509,0),0))</f>
        <v>513941.14402138407</v>
      </c>
      <c r="H135" s="284">
        <f t="shared" ref="H135" ca="1" si="20">IF(OR(D135="MDU",D135="MDU-KD"),(IF($O$3="RAB NON MDU","PLN KD",G135*F135)),0)</f>
        <v>0</v>
      </c>
      <c r="I135" s="284">
        <f t="shared" ref="I135" ca="1" si="21">IF(D135="HDW",G135*F135,0)</f>
        <v>0</v>
      </c>
      <c r="J135" s="284">
        <f t="shared" ref="J135" ca="1" si="22">IF(D135="JASA",G135*F135,0)</f>
        <v>513941.14402138407</v>
      </c>
      <c r="K135" s="285">
        <f t="shared" ref="K135" ca="1" si="23">SUM(H135:J135)</f>
        <v>513941.14402138407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>
      <c r="A136" s="259"/>
      <c r="B136" s="525">
        <v>2</v>
      </c>
      <c r="C136" s="526" t="s">
        <v>963</v>
      </c>
      <c r="D136" s="281" t="str">
        <f ca="1">IF(ISERROR(OFFSET('HARGA SATUAN'!$D$6,MATCH('RAB Standart'!C136,'HARGA SATUAN'!$C$7:$C$1509,0),0)),"",OFFSET('HARGA SATUAN'!$D$6,MATCH('RAB Standart'!C136,'HARGA SATUAN'!$C$7:$C$1509,0),0))</f>
        <v>JASA</v>
      </c>
      <c r="E136" s="282" t="str">
        <f ca="1">IF(B136="+","Unit",IF(ISERROR(OFFSET('HARGA SATUAN'!$E$6,MATCH('RAB Standart'!C136,'HARGA SATUAN'!$C$7:$C$1509,0),0)),"",OFFSET('HARGA SATUAN'!$E$6,MATCH('RAB Standart'!C136,'HARGA SATUAN'!$C$7:$C$1509,0),0)))</f>
        <v>Unit</v>
      </c>
      <c r="F136" s="295">
        <v>1</v>
      </c>
      <c r="G136" s="283">
        <f ca="1">IF(ISERROR(OFFSET('HARGA SATUAN'!$I$6,MATCH('RAB Standart'!C136,'HARGA SATUAN'!$C$7:$C$1509,0),0)),0,OFFSET('HARGA SATUAN'!$I$6,MATCH('RAB Standart'!C136,'HARGA SATUAN'!$C$7:$C$1509,0),0))</f>
        <v>2476740</v>
      </c>
      <c r="H136" s="284">
        <f t="shared" ref="H136" ca="1" si="24">IF(OR(D136="MDU",D136="MDU-KD"),(IF($O$3="RAB NON MDU","PLN KD",G136*F136)),0)</f>
        <v>0</v>
      </c>
      <c r="I136" s="284">
        <f t="shared" ref="I136" ca="1" si="25">IF(D136="HDW",G136*F136,0)</f>
        <v>0</v>
      </c>
      <c r="J136" s="284">
        <f t="shared" ref="J136" ca="1" si="26">IF(D136="JASA",G136*F136,0)</f>
        <v>2476740</v>
      </c>
      <c r="K136" s="285">
        <f t="shared" ref="K136" ca="1" si="27">SUM(H136:J136)</f>
        <v>2476740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/>
      <c r="B137" s="525">
        <v>3</v>
      </c>
      <c r="C137" s="526" t="s">
        <v>862</v>
      </c>
      <c r="D137" s="281" t="str">
        <f ca="1">IF(ISERROR(OFFSET('HARGA SATUAN'!$D$6,MATCH('RAB Standart'!C137,'HARGA SATUAN'!$C$7:$C$1509,0),0)),"",OFFSET('HARGA SATUAN'!$D$6,MATCH('RAB Standart'!C137,'HARGA SATUAN'!$C$7:$C$1509,0),0))</f>
        <v>JASA</v>
      </c>
      <c r="E137" s="282" t="str">
        <f ca="1">IF(B137="+","Unit",IF(ISERROR(OFFSET('HARGA SATUAN'!$E$6,MATCH('RAB Standart'!C137,'HARGA SATUAN'!$C$7:$C$1509,0),0)),"",OFFSET('HARGA SATUAN'!$E$6,MATCH('RAB Standart'!C137,'HARGA SATUAN'!$C$7:$C$1509,0),0)))</f>
        <v>Unit</v>
      </c>
      <c r="F137" s="295">
        <v>1</v>
      </c>
      <c r="G137" s="283">
        <f ca="1">IF(ISERROR(OFFSET('HARGA SATUAN'!$I$6,MATCH('RAB Standart'!C137,'HARGA SATUAN'!$C$7:$C$1509,0),0)),0,OFFSET('HARGA SATUAN'!$I$6,MATCH('RAB Standart'!C137,'HARGA SATUAN'!$C$7:$C$1509,0),0))</f>
        <v>50340</v>
      </c>
      <c r="H137" s="284">
        <f t="shared" ref="H137:H141" ca="1" si="28">IF(OR(D137="MDU",D137="MDU-KD"),(IF($O$3="RAB NON MDU","PLN KD",G137*F137)),0)</f>
        <v>0</v>
      </c>
      <c r="I137" s="284">
        <f t="shared" ref="I137:I141" ca="1" si="29">IF(D137="HDW",G137*F137,0)</f>
        <v>0</v>
      </c>
      <c r="J137" s="284">
        <f t="shared" ref="J137:J141" ca="1" si="30">IF(D137="JASA",G137*F137,0)</f>
        <v>50340</v>
      </c>
      <c r="K137" s="285">
        <f t="shared" ref="K137:K141" ca="1" si="31">SUM(H137:J137)</f>
        <v>50340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/>
      <c r="B138" s="525">
        <v>4</v>
      </c>
      <c r="C138" s="526" t="s">
        <v>976</v>
      </c>
      <c r="D138" s="281" t="str">
        <f ca="1">IF(ISERROR(OFFSET('HARGA SATUAN'!$D$6,MATCH('RAB Standart'!C138,'HARGA SATUAN'!$C$7:$C$1509,0),0)),"",OFFSET('HARGA SATUAN'!$D$6,MATCH('RAB Standart'!C138,'HARGA SATUAN'!$C$7:$C$1509,0),0))</f>
        <v>JASA</v>
      </c>
      <c r="E138" s="282" t="str">
        <f ca="1">IF(B138="+","Unit",IF(ISERROR(OFFSET('HARGA SATUAN'!$E$6,MATCH('RAB Standart'!C138,'HARGA SATUAN'!$C$7:$C$1509,0),0)),"",OFFSET('HARGA SATUAN'!$E$6,MATCH('RAB Standart'!C138,'HARGA SATUAN'!$C$7:$C$1509,0),0)))</f>
        <v>Unit</v>
      </c>
      <c r="F138" s="295">
        <v>1</v>
      </c>
      <c r="G138" s="283">
        <f ca="1">IF(ISERROR(OFFSET('HARGA SATUAN'!$I$6,MATCH('RAB Standart'!C138,'HARGA SATUAN'!$C$7:$C$1509,0),0)),0,OFFSET('HARGA SATUAN'!$I$6,MATCH('RAB Standart'!C138,'HARGA SATUAN'!$C$7:$C$1509,0),0))</f>
        <v>63840</v>
      </c>
      <c r="H138" s="284">
        <f t="shared" ca="1" si="28"/>
        <v>0</v>
      </c>
      <c r="I138" s="284">
        <f t="shared" ca="1" si="29"/>
        <v>0</v>
      </c>
      <c r="J138" s="284">
        <f t="shared" ca="1" si="30"/>
        <v>63840</v>
      </c>
      <c r="K138" s="285">
        <f t="shared" ca="1" si="31"/>
        <v>63840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/>
      <c r="B139" s="525">
        <v>5</v>
      </c>
      <c r="C139" s="526" t="s">
        <v>802</v>
      </c>
      <c r="D139" s="281" t="str">
        <f ca="1">IF(ISERROR(OFFSET('HARGA SATUAN'!$D$6,MATCH('RAB Standart'!C139,'HARGA SATUAN'!$C$7:$C$1509,0),0)),"",OFFSET('HARGA SATUAN'!$D$6,MATCH('RAB Standart'!C139,'HARGA SATUAN'!$C$7:$C$1509,0),0))</f>
        <v>JASA</v>
      </c>
      <c r="E139" s="282" t="str">
        <f ca="1">IF(B139="+","Unit",IF(ISERROR(OFFSET('HARGA SATUAN'!$E$6,MATCH('RAB Standart'!C139,'HARGA SATUAN'!$C$7:$C$1509,0),0)),"",OFFSET('HARGA SATUAN'!$E$6,MATCH('RAB Standart'!C139,'HARGA SATUAN'!$C$7:$C$1509,0),0)))</f>
        <v>Unit</v>
      </c>
      <c r="F139" s="295">
        <v>1</v>
      </c>
      <c r="G139" s="283">
        <f ca="1">IF(ISERROR(OFFSET('HARGA SATUAN'!$I$6,MATCH('RAB Standart'!C139,'HARGA SATUAN'!$C$7:$C$1509,0),0)),0,OFFSET('HARGA SATUAN'!$I$6,MATCH('RAB Standart'!C139,'HARGA SATUAN'!$C$7:$C$1509,0),0))</f>
        <v>17820</v>
      </c>
      <c r="H139" s="284">
        <f t="shared" ref="H139:H140" ca="1" si="32">IF(OR(D139="MDU",D139="MDU-KD"),(IF($O$3="RAB NON MDU","PLN KD",G139*F139)),0)</f>
        <v>0</v>
      </c>
      <c r="I139" s="284">
        <f t="shared" ref="I139:I140" ca="1" si="33">IF(D139="HDW",G139*F139,0)</f>
        <v>0</v>
      </c>
      <c r="J139" s="284">
        <f t="shared" ref="J139:J140" ca="1" si="34">IF(D139="JASA",G139*F139,0)</f>
        <v>17820</v>
      </c>
      <c r="K139" s="285">
        <f t="shared" ref="K139:K140" ca="1" si="35">SUM(H139:J139)</f>
        <v>17820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/>
      <c r="B140" s="525">
        <v>6</v>
      </c>
      <c r="C140" s="526" t="s">
        <v>618</v>
      </c>
      <c r="D140" s="281" t="str">
        <f ca="1">IF(ISERROR(OFFSET('HARGA SATUAN'!$D$6,MATCH('RAB Standart'!C140,'HARGA SATUAN'!$C$7:$C$1509,0),0)),"",OFFSET('HARGA SATUAN'!$D$6,MATCH('RAB Standart'!C140,'HARGA SATUAN'!$C$7:$C$1509,0),0))</f>
        <v>JASA</v>
      </c>
      <c r="E140" s="282" t="str">
        <f ca="1">IF(B140="+","Unit",IF(ISERROR(OFFSET('HARGA SATUAN'!$E$6,MATCH('RAB Standart'!C140,'HARGA SATUAN'!$C$7:$C$1509,0),0)),"",OFFSET('HARGA SATUAN'!$E$6,MATCH('RAB Standart'!C140,'HARGA SATUAN'!$C$7:$C$1509,0),0)))</f>
        <v>Unit</v>
      </c>
      <c r="F140" s="295">
        <v>1</v>
      </c>
      <c r="G140" s="283">
        <f ca="1">IF(ISERROR(OFFSET('HARGA SATUAN'!$I$6,MATCH('RAB Standart'!C140,'HARGA SATUAN'!$C$7:$C$1509,0),0)),0,OFFSET('HARGA SATUAN'!$I$6,MATCH('RAB Standart'!C140,'HARGA SATUAN'!$C$7:$C$1509,0),0))</f>
        <v>35700</v>
      </c>
      <c r="H140" s="284">
        <f t="shared" ca="1" si="32"/>
        <v>0</v>
      </c>
      <c r="I140" s="284">
        <f t="shared" ca="1" si="33"/>
        <v>0</v>
      </c>
      <c r="J140" s="284">
        <f t="shared" ca="1" si="34"/>
        <v>35700</v>
      </c>
      <c r="K140" s="285">
        <f t="shared" ca="1" si="35"/>
        <v>35700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/>
      <c r="B141" s="525"/>
      <c r="C141" s="526"/>
      <c r="D141" s="281" t="str">
        <f ca="1">IF(ISERROR(OFFSET('HARGA SATUAN'!$D$6,MATCH('RAB Standart'!C141,'HARGA SATUAN'!$C$7:$C$1509,0),0)),"",OFFSET('HARGA SATUAN'!$D$6,MATCH('RAB Standart'!C141,'HARGA SATUAN'!$C$7:$C$1509,0),0))</f>
        <v/>
      </c>
      <c r="E141" s="282" t="str">
        <f ca="1">IF(B141="+","Unit",IF(ISERROR(OFFSET('HARGA SATUAN'!$E$6,MATCH('RAB Standart'!C141,'HARGA SATUAN'!$C$7:$C$1509,0),0)),"",OFFSET('HARGA SATUAN'!$E$6,MATCH('RAB Standart'!C141,'HARGA SATUAN'!$C$7:$C$1509,0),0)))</f>
        <v/>
      </c>
      <c r="F141" s="295"/>
      <c r="G141" s="283">
        <f ca="1">IF(ISERROR(OFFSET('HARGA SATUAN'!$I$6,MATCH('RAB Standart'!C141,'HARGA SATUAN'!$C$7:$C$1509,0),0)),0,OFFSET('HARGA SATUAN'!$I$6,MATCH('RAB Standart'!C141,'HARGA SATUAN'!$C$7:$C$1509,0),0))</f>
        <v>0</v>
      </c>
      <c r="H141" s="284">
        <f t="shared" ca="1" si="28"/>
        <v>0</v>
      </c>
      <c r="I141" s="284">
        <f t="shared" ca="1" si="29"/>
        <v>0</v>
      </c>
      <c r="J141" s="284">
        <f t="shared" ca="1" si="30"/>
        <v>0</v>
      </c>
      <c r="K141" s="285">
        <f t="shared" ca="1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>
      <c r="B142" s="298"/>
      <c r="C142" s="299" t="s">
        <v>468</v>
      </c>
      <c r="D142" s="281" t="str">
        <f ca="1">IF(ISERROR(OFFSET('HARGA SATUAN'!$D$6,MATCH('RAB Standart'!C142,'HARGA SATUAN'!$C$7:$C$1509,0),0)),"",OFFSET('HARGA SATUAN'!$D$6,MATCH('RAB Standart'!C142,'HARGA SATUAN'!$C$7:$C$1509,0),0))</f>
        <v/>
      </c>
      <c r="E142" s="282" t="str">
        <f ca="1">IF(B142="+","Unit",IF(ISERROR(OFFSET('HARGA SATUAN'!$E$6,MATCH('RAB Standart'!C142,'HARGA SATUAN'!$C$7:$C$1509,0),0)),"",OFFSET('HARGA SATUAN'!$E$6,MATCH('RAB Standart'!C142,'HARGA SATUAN'!$C$7:$C$1509,0),0)))</f>
        <v/>
      </c>
      <c r="F142" s="300"/>
      <c r="G142" s="283">
        <f ca="1">IF(ISERROR(OFFSET('HARGA SATUAN'!$I$6,MATCH('RAB Standart'!C142,'HARGA SATUAN'!$C$7:$C$1509,0),0)),0,OFFSET('HARGA SATUAN'!$I$6,MATCH('RAB Standart'!C142,'HARGA SATUAN'!$C$7:$C$1509,0),0))</f>
        <v>0</v>
      </c>
      <c r="H142" s="284">
        <f ca="1">IF(OR(D142="MDU",D142="MDU-KD"),(IF($O$3="RAB NON MDU","PLN KD",G142*F142)),0)</f>
        <v>0</v>
      </c>
      <c r="I142" s="284">
        <f ca="1">IF(D142="HDW",G142*F142,0)</f>
        <v>0</v>
      </c>
      <c r="J142" s="284">
        <f ca="1">IF(D142="JASA",G142*F142,0)</f>
        <v>0</v>
      </c>
      <c r="K142" s="285">
        <f ca="1">SUM(H142:J142)</f>
        <v>0</v>
      </c>
    </row>
    <row r="143" spans="1:22">
      <c r="B143" s="301">
        <v>1</v>
      </c>
      <c r="C143" s="302" t="s">
        <v>1064</v>
      </c>
      <c r="D143" s="303" t="str">
        <f ca="1">IF(ISERROR(OFFSET('HARGA SATUAN'!$D$6,MATCH('RAB Standart'!C143,'HARGA SATUAN'!$C$7:$C$1509,0),0)),"",OFFSET('HARGA SATUAN'!$D$6,MATCH('RAB Standart'!C143,'HARGA SATUAN'!$C$7:$C$1509,0),0))</f>
        <v>JASA</v>
      </c>
      <c r="E143" s="304" t="str">
        <f ca="1">IF(ISERROR(OFFSET('HARGA SATUAN'!$E$6,MATCH('RAB Standart'!C143,'HARGA SATUAN'!$C$7:$C$1509,0),0)),"",OFFSET('HARGA SATUAN'!$E$6,MATCH('RAB Standart'!C143,'HARGA SATUAN'!$C$7:$C$1509,0),0))</f>
        <v>Lot</v>
      </c>
      <c r="F143" s="305">
        <v>1</v>
      </c>
      <c r="G143" s="306">
        <f ca="1">IF(ISERROR(OFFSET('HARGA SATUAN'!$I$6,MATCH('RAB Standart'!C143,'HARGA SATUAN'!$C$7:$C$1509,0),0)),0,OFFSET('HARGA SATUAN'!$I$6,MATCH('RAB Standart'!C143,'HARGA SATUAN'!$C$7:$C$1509,0),0))</f>
        <v>2.5000000000000001E-2</v>
      </c>
      <c r="H143" s="307"/>
      <c r="I143" s="307"/>
      <c r="J143" s="307">
        <f ca="1">SUM(K15:K66)*G143</f>
        <v>347760.25</v>
      </c>
      <c r="K143" s="308">
        <f ca="1">SUM(H143:J143)</f>
        <v>347760.25</v>
      </c>
    </row>
    <row r="144" spans="1:22">
      <c r="B144" s="309"/>
      <c r="C144" s="310"/>
      <c r="D144" s="281" t="str">
        <f ca="1">IF(ISERROR(OFFSET('HARGA SATUAN'!$D$6,MATCH('RAB Standart'!C144,'HARGA SATUAN'!$C$7:$C$1509,0),0)),"",OFFSET('HARGA SATUAN'!$D$6,MATCH('RAB Standart'!C144,'HARGA SATUAN'!$C$7:$C$1509,0),0))</f>
        <v/>
      </c>
      <c r="E144" s="282" t="str">
        <f ca="1">IF(ISERROR(OFFSET('HARGA SATUAN'!$E$6,MATCH('RAB Standart'!C144,'HARGA SATUAN'!$C$7:$C$1509,0),0)),"",OFFSET('HARGA SATUAN'!$E$6,MATCH('RAB Standart'!C144,'HARGA SATUAN'!$C$7:$C$1509,0),0))</f>
        <v/>
      </c>
      <c r="F144" s="300"/>
      <c r="G144" s="283" t="str">
        <f ca="1">IF(ISERROR(OFFSET('HARGA SATUAN'!$I$6,MATCH('RAB Standart'!C144,'HARGA SATUAN'!$C$7:$C$1509,0),0)),"",OFFSET('HARGA SATUAN'!$I$6,MATCH('RAB Standart'!C144,'HARGA SATUAN'!$C$7:$C$1509,0),0))</f>
        <v/>
      </c>
      <c r="H144" s="284">
        <f ca="1">IF(OR(D144="MDU",D144="MDU-KD"),IF(G144="PLN",0,G144*F144),0)</f>
        <v>0</v>
      </c>
      <c r="I144" s="284">
        <f ca="1">IF(D144="HDW",IF(G144="PLN",0,G144*F144),0)</f>
        <v>0</v>
      </c>
      <c r="J144" s="284">
        <f ca="1">IF(D144="JASA",IF(G144="PLN",0,G144*F144),0)</f>
        <v>0</v>
      </c>
      <c r="K144" s="285">
        <f ca="1">SUM(H144:J144)</f>
        <v>0</v>
      </c>
    </row>
    <row r="145" spans="2:13" ht="15.75" thickBot="1">
      <c r="B145" s="311"/>
      <c r="C145" s="312"/>
      <c r="D145" s="313"/>
      <c r="E145" s="314"/>
      <c r="F145" s="314"/>
      <c r="G145" s="314"/>
      <c r="H145" s="315"/>
      <c r="I145" s="315"/>
      <c r="J145" s="315"/>
      <c r="K145" s="316"/>
    </row>
    <row r="146" spans="2:13">
      <c r="B146" s="317"/>
      <c r="C146" s="631" t="s">
        <v>984</v>
      </c>
      <c r="D146" s="631"/>
      <c r="E146" s="631"/>
      <c r="F146" s="631"/>
      <c r="G146" s="318" t="s">
        <v>9</v>
      </c>
      <c r="H146" s="319">
        <f ca="1">SUM(H14:H144)</f>
        <v>192138100</v>
      </c>
      <c r="I146" s="319">
        <f ca="1">SUM(I14:I144)</f>
        <v>44181219</v>
      </c>
      <c r="J146" s="319">
        <f ca="1">SUM(J14:J144)</f>
        <v>9897470.6997505389</v>
      </c>
      <c r="K146" s="319">
        <f ca="1">SUM(K14:K144)</f>
        <v>246216789.69975054</v>
      </c>
    </row>
    <row r="147" spans="2:13">
      <c r="B147" s="320"/>
      <c r="C147" s="647" t="s">
        <v>1427</v>
      </c>
      <c r="D147" s="647"/>
      <c r="E147" s="647"/>
      <c r="F147" s="647"/>
      <c r="G147" s="321" t="s">
        <v>9</v>
      </c>
      <c r="H147" s="322">
        <f ca="1">H146*0.11</f>
        <v>21135191</v>
      </c>
      <c r="I147" s="322">
        <f ca="1">I146*0.11</f>
        <v>4859934.09</v>
      </c>
      <c r="J147" s="322">
        <f ca="1">J146*0.11</f>
        <v>1088721.7769725593</v>
      </c>
      <c r="K147" s="322">
        <f ca="1">K146*0.11</f>
        <v>27083846.866972558</v>
      </c>
    </row>
    <row r="148" spans="2:13" ht="15.75" thickBot="1">
      <c r="B148" s="320"/>
      <c r="C148" s="645" t="s">
        <v>456</v>
      </c>
      <c r="D148" s="645"/>
      <c r="E148" s="645"/>
      <c r="F148" s="645"/>
      <c r="G148" s="323" t="s">
        <v>9</v>
      </c>
      <c r="H148" s="324">
        <f ca="1">SUM(H146:H147)</f>
        <v>213273291</v>
      </c>
      <c r="I148" s="324">
        <f ca="1">SUM(I146:I147)</f>
        <v>49041153.090000004</v>
      </c>
      <c r="J148" s="323">
        <f ca="1">SUM(J146:J147)</f>
        <v>10986192.476723097</v>
      </c>
      <c r="K148" s="323">
        <f ca="1">SUM(K146:K147)</f>
        <v>273300636.56672311</v>
      </c>
      <c r="M148" s="390"/>
    </row>
    <row r="149" spans="2:13">
      <c r="B149" s="648" t="str">
        <f ca="1">"Terbilang : "&amp;PROPER(IF(K148=0,"nol",IF(K148&lt;0,"minus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IF(--MID(TEXT(ABS(K148),"000000000000000"),1,3)=0,"",MID(TEXT(ABS(K148),"000000000000000"),1,1)&amp;" ratus "&amp;MID(TEXT(ABS(K148),"000000000000000"),2,1)&amp;" puluh "&amp;MID(TEXT(ABS(K148),"000000000000000"),3,1)&amp;" trilyun ")&amp; IF(--MID(TEXT(ABS(K148),"000000000000000"),4,3)=0,"",MID(TEXT(ABS(K148),"000000000000000"),4,1)&amp;" ratus "&amp;MID(TEXT(ABS(K148),"000000000000000"),5,1)&amp;" puluh "&amp;MID(TEXT(ABS(K148),"000000000000000"),6,1)&amp;" milyar ")&amp; IF(--MID(TEXT(ABS(K148),"000000000000000"),7,3)=0,"",MID(TEXT(ABS(K148),"000000000000000"),7,1)&amp;" ratus "&amp;MID(TEXT(ABS(K148),"000000000000000"),8,1)&amp;" puluh "&amp;MID(TEXT(ABS(K148),"000000000000000"),9,1)&amp;" juta ")&amp; IF(--MID(TEXT(ABS(K148),"000000000000000"),10,3)=0,"",IF(--MID(TEXT(ABS(K148),"000000000000000"),10,3)=1,"*",MID(TEXT(ABS(K148),"000000000000000"),10,1)&amp;" ratus "&amp;MID(TEXT(ABS(K148),"000000000000000"),11,1)&amp;" puluh ")&amp;MID(TEXT(ABS(K148),"000000000000000"),12,1)&amp;" ribu ")&amp; IF(--MID(TEXT(ABS(K148),"000000000000000"),13,3)=0,"",MID(TEXT(ABS(K148),"000000000000000"),13,1)&amp;" ratus "&amp;MID(TEXT(ABS(K148),"000000000000000"),14,1)&amp;" puluh "&amp;MID(TEXT(ABS(K148),"000000000000000"),15,1)),1,"satu"),2,"dua"),3,"tiga"),4,"empat"),5,"lima"),6,"enam"),7,"tujuh"),8,"delapan"),9,"sembilan"),"0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Tujuh Puluh Tiga Juta Tiga Ratus Ribu Enam Ratus Tiga Puluh Tujuh Rupiah</v>
      </c>
      <c r="C149" s="649"/>
      <c r="D149" s="649"/>
      <c r="E149" s="649"/>
      <c r="F149" s="649"/>
      <c r="G149" s="649"/>
      <c r="H149" s="649"/>
      <c r="I149" s="649"/>
      <c r="J149" s="649"/>
      <c r="K149" s="650"/>
    </row>
    <row r="150" spans="2:13">
      <c r="B150" s="651"/>
      <c r="C150" s="652"/>
      <c r="D150" s="652"/>
      <c r="E150" s="652"/>
      <c r="F150" s="652"/>
      <c r="G150" s="652"/>
      <c r="H150" s="652"/>
      <c r="I150" s="652"/>
      <c r="J150" s="652"/>
      <c r="K150" s="653"/>
    </row>
    <row r="151" spans="2:13" ht="15.75" thickBot="1">
      <c r="B151" s="326" t="str">
        <f>"Harga yang dipakai adalah "&amp;'HARGA SATUAN'!I5&amp;""</f>
        <v>Harga yang dipakai adalah RAB HSS 2023</v>
      </c>
      <c r="C151" s="327"/>
      <c r="D151" s="328"/>
      <c r="E151" s="328"/>
      <c r="F151" s="328"/>
      <c r="G151" s="329"/>
      <c r="H151" s="329"/>
      <c r="I151" s="329"/>
      <c r="J151" s="329"/>
      <c r="K151" s="330"/>
    </row>
    <row r="152" spans="2:13">
      <c r="C152" s="331"/>
      <c r="E152" s="333"/>
      <c r="F152" s="333"/>
      <c r="G152" s="333"/>
    </row>
    <row r="153" spans="2:13">
      <c r="C153" s="260"/>
      <c r="E153" s="333"/>
      <c r="F153" s="333"/>
      <c r="G153" s="333"/>
      <c r="H153" s="654"/>
      <c r="I153" s="654"/>
      <c r="J153" s="655"/>
      <c r="K153" s="655"/>
    </row>
    <row r="154" spans="2:13">
      <c r="C154" s="260"/>
      <c r="E154" s="333"/>
      <c r="F154" s="333"/>
      <c r="G154" s="333"/>
      <c r="H154" s="334"/>
      <c r="I154" s="644" t="s">
        <v>1653</v>
      </c>
      <c r="J154" s="644"/>
      <c r="K154" s="644"/>
    </row>
    <row r="155" spans="2:13">
      <c r="C155" s="260"/>
      <c r="E155" s="333"/>
      <c r="F155" s="333"/>
      <c r="G155" s="333"/>
      <c r="H155" s="334"/>
      <c r="I155" s="644" t="s">
        <v>1514</v>
      </c>
      <c r="J155" s="644"/>
      <c r="K155" s="644"/>
    </row>
    <row r="156" spans="2:13">
      <c r="C156" s="260"/>
      <c r="E156" s="333"/>
      <c r="F156" s="333"/>
      <c r="G156" s="333"/>
      <c r="H156" s="335"/>
      <c r="I156" s="336"/>
      <c r="J156" s="336"/>
      <c r="K156" s="336"/>
    </row>
    <row r="157" spans="2:13">
      <c r="C157" s="260"/>
      <c r="E157" s="333"/>
      <c r="F157" s="333"/>
      <c r="G157" s="333"/>
      <c r="H157" s="335"/>
      <c r="I157" s="335"/>
      <c r="J157" s="335"/>
      <c r="K157" s="335"/>
    </row>
    <row r="158" spans="2:13">
      <c r="C158" s="260"/>
      <c r="E158" s="333"/>
      <c r="F158" s="333"/>
      <c r="G158" s="333"/>
      <c r="H158" s="335"/>
      <c r="I158" s="335"/>
      <c r="J158" s="335"/>
      <c r="K158" s="335"/>
    </row>
    <row r="159" spans="2:13">
      <c r="C159" s="260"/>
      <c r="E159" s="333"/>
      <c r="F159" s="333"/>
      <c r="G159" s="333"/>
      <c r="H159" s="335"/>
      <c r="I159" s="335"/>
      <c r="J159" s="335"/>
      <c r="K159" s="335"/>
    </row>
    <row r="160" spans="2:13">
      <c r="C160" s="260"/>
      <c r="E160" s="333"/>
      <c r="F160" s="333"/>
      <c r="G160" s="333"/>
      <c r="H160" s="337"/>
      <c r="I160" s="644" t="s">
        <v>1515</v>
      </c>
      <c r="J160" s="644"/>
      <c r="K160" s="644"/>
    </row>
    <row r="161" spans="3:11">
      <c r="C161" s="331"/>
      <c r="E161" s="333"/>
      <c r="F161" s="333"/>
      <c r="G161" s="333"/>
      <c r="H161" s="335"/>
      <c r="I161" s="335"/>
      <c r="J161" s="335"/>
      <c r="K161" s="335"/>
    </row>
    <row r="162" spans="3:11">
      <c r="C162" s="331"/>
      <c r="E162" s="333"/>
      <c r="F162" s="333"/>
      <c r="G162" s="333"/>
      <c r="H162" s="335"/>
      <c r="I162" s="335"/>
      <c r="J162" s="335"/>
      <c r="K162" s="335"/>
    </row>
    <row r="163" spans="3:11">
      <c r="C163" s="331"/>
      <c r="E163" s="333"/>
      <c r="F163" s="333"/>
      <c r="G163" s="333"/>
      <c r="H163" s="335"/>
      <c r="I163" s="335"/>
      <c r="J163" s="335"/>
      <c r="K163" s="335"/>
    </row>
  </sheetData>
  <sheetProtection sort="0" autoFilter="0"/>
  <protectedRanges>
    <protectedRange sqref="F133:F141" name="Range1_1_3_1_2_1"/>
    <protectedRange sqref="C67" name="Range1_3_1"/>
  </protectedRanges>
  <mergeCells count="22">
    <mergeCell ref="I155:K155"/>
    <mergeCell ref="I160:K160"/>
    <mergeCell ref="C148:F148"/>
    <mergeCell ref="G6:K6"/>
    <mergeCell ref="I154:K154"/>
    <mergeCell ref="C147:F147"/>
    <mergeCell ref="B149:K150"/>
    <mergeCell ref="H153:K153"/>
    <mergeCell ref="H11:K11"/>
    <mergeCell ref="H12:H13"/>
    <mergeCell ref="J12:J13"/>
    <mergeCell ref="K12:K13"/>
    <mergeCell ref="O3:P4"/>
    <mergeCell ref="B4:K4"/>
    <mergeCell ref="C146:F146"/>
    <mergeCell ref="B11:B13"/>
    <mergeCell ref="C11:C13"/>
    <mergeCell ref="D11:D13"/>
    <mergeCell ref="E11:E13"/>
    <mergeCell ref="F11:F13"/>
    <mergeCell ref="G11:G13"/>
    <mergeCell ref="I12:I13"/>
  </mergeCells>
  <phoneticPr fontId="120" type="noConversion"/>
  <conditionalFormatting sqref="C67">
    <cfRule type="cellIs" dxfId="15" priority="291" operator="equal">
      <formula>0</formula>
    </cfRule>
  </conditionalFormatting>
  <conditionalFormatting sqref="E1:E3 H12:I12 O13 G142:H142 E142:G143 H142:K145 E144:H144 E145:F145 S14:V66 E5:E135 F14:K135 S68:V141 E136:K141">
    <cfRule type="cellIs" dxfId="14" priority="1781" stopIfTrue="1" operator="equal">
      <formula>0</formula>
    </cfRule>
  </conditionalFormatting>
  <conditionalFormatting sqref="G1:G13">
    <cfRule type="cellIs" dxfId="13" priority="2" stopIfTrue="1" operator="equal">
      <formula>0</formula>
    </cfRule>
  </conditionalFormatting>
  <conditionalFormatting sqref="G144:G65610 E149:E65610">
    <cfRule type="cellIs" dxfId="12" priority="9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68:F132 F15:F52 F54:F66 H14:K14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ignoredErrors>
    <ignoredError sqref="F5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topLeftCell="A10" zoomScale="130" zoomScaleNormal="130" zoomScaleSheetLayoutView="115" workbookViewId="0">
      <selection activeCell="AL28" sqref="AL28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71" t="s">
        <v>1620</v>
      </c>
      <c r="X2" s="672"/>
      <c r="Y2" s="672"/>
      <c r="Z2" s="672"/>
      <c r="AA2" s="672"/>
      <c r="AB2" s="672"/>
      <c r="AC2" s="672"/>
      <c r="AD2" s="673"/>
    </row>
    <row r="3" spans="2:30" ht="12" customHeight="1">
      <c r="B3" s="433"/>
      <c r="W3" s="674"/>
      <c r="X3" s="675"/>
      <c r="Y3" s="675"/>
      <c r="Z3" s="675"/>
      <c r="AA3" s="675"/>
      <c r="AB3" s="675"/>
      <c r="AC3" s="675"/>
      <c r="AD3" s="676"/>
    </row>
    <row r="4" spans="2:30">
      <c r="B4" s="433"/>
      <c r="W4" s="434" t="s">
        <v>1588</v>
      </c>
      <c r="AD4" s="435"/>
    </row>
    <row r="5" spans="2:30">
      <c r="B5" s="433"/>
      <c r="D5" s="677" t="s">
        <v>1637</v>
      </c>
      <c r="E5" s="677"/>
      <c r="F5" s="677"/>
      <c r="W5" s="453" t="s">
        <v>1589</v>
      </c>
      <c r="X5" s="660" t="s">
        <v>1590</v>
      </c>
      <c r="Y5" s="660"/>
      <c r="Z5" s="660"/>
      <c r="AA5" s="660" t="s">
        <v>1591</v>
      </c>
      <c r="AB5" s="660"/>
      <c r="AC5" s="660" t="s">
        <v>1592</v>
      </c>
      <c r="AD5" s="661"/>
    </row>
    <row r="6" spans="2:30">
      <c r="B6" s="433"/>
      <c r="D6" s="514" t="s">
        <v>1661</v>
      </c>
      <c r="W6" s="453">
        <v>1</v>
      </c>
      <c r="X6" s="660" t="s">
        <v>1593</v>
      </c>
      <c r="Y6" s="660"/>
      <c r="Z6" s="660"/>
      <c r="AA6" s="660"/>
      <c r="AB6" s="660"/>
      <c r="AC6" s="660"/>
      <c r="AD6" s="661"/>
    </row>
    <row r="7" spans="2:30">
      <c r="B7" s="433"/>
      <c r="W7" s="453">
        <v>2</v>
      </c>
      <c r="X7" s="660" t="s">
        <v>1594</v>
      </c>
      <c r="Y7" s="660"/>
      <c r="Z7" s="660"/>
      <c r="AA7" s="660"/>
      <c r="AB7" s="660"/>
      <c r="AC7" s="660"/>
      <c r="AD7" s="661"/>
    </row>
    <row r="8" spans="2:30">
      <c r="B8" s="433"/>
      <c r="W8" s="453">
        <v>3</v>
      </c>
      <c r="X8" s="660" t="s">
        <v>1595</v>
      </c>
      <c r="Y8" s="660"/>
      <c r="Z8" s="660"/>
      <c r="AA8" s="660"/>
      <c r="AB8" s="660"/>
      <c r="AC8" s="660"/>
      <c r="AD8" s="661"/>
    </row>
    <row r="9" spans="2:30">
      <c r="B9" s="433"/>
      <c r="W9" s="453">
        <v>4</v>
      </c>
      <c r="X9" s="660" t="s">
        <v>1596</v>
      </c>
      <c r="Y9" s="660"/>
      <c r="Z9" s="660"/>
      <c r="AA9" s="660"/>
      <c r="AB9" s="660"/>
      <c r="AC9" s="660"/>
      <c r="AD9" s="661"/>
    </row>
    <row r="10" spans="2:30">
      <c r="B10" s="433"/>
      <c r="W10" s="453">
        <v>5</v>
      </c>
      <c r="X10" s="660" t="s">
        <v>1597</v>
      </c>
      <c r="Y10" s="660"/>
      <c r="Z10" s="660"/>
      <c r="AA10" s="660"/>
      <c r="AB10" s="660"/>
      <c r="AC10" s="660"/>
      <c r="AD10" s="661"/>
    </row>
    <row r="11" spans="2:30">
      <c r="B11" s="433"/>
      <c r="W11" s="453">
        <v>6</v>
      </c>
      <c r="X11" s="660" t="s">
        <v>1598</v>
      </c>
      <c r="Y11" s="660"/>
      <c r="Z11" s="660"/>
      <c r="AA11" s="660"/>
      <c r="AB11" s="660"/>
      <c r="AC11" s="660"/>
      <c r="AD11" s="661"/>
    </row>
    <row r="12" spans="2:30">
      <c r="B12" s="433"/>
      <c r="W12" s="453">
        <v>7</v>
      </c>
      <c r="X12" s="660" t="s">
        <v>1599</v>
      </c>
      <c r="Y12" s="660"/>
      <c r="Z12" s="660"/>
      <c r="AA12" s="660"/>
      <c r="AB12" s="660"/>
      <c r="AC12" s="660"/>
      <c r="AD12" s="661"/>
    </row>
    <row r="13" spans="2:30" ht="12.75" customHeight="1">
      <c r="B13" s="433"/>
      <c r="W13" s="453">
        <v>8</v>
      </c>
      <c r="X13" s="660" t="s">
        <v>1600</v>
      </c>
      <c r="Y13" s="660"/>
      <c r="Z13" s="660"/>
      <c r="AA13" s="660"/>
      <c r="AB13" s="660"/>
      <c r="AC13" s="660"/>
      <c r="AD13" s="661"/>
    </row>
    <row r="14" spans="2:30">
      <c r="B14" s="433"/>
      <c r="W14" s="453">
        <v>9</v>
      </c>
      <c r="X14" s="660" t="s">
        <v>1601</v>
      </c>
      <c r="Y14" s="660"/>
      <c r="Z14" s="660"/>
      <c r="AA14" s="660"/>
      <c r="AB14" s="660"/>
      <c r="AC14" s="660"/>
      <c r="AD14" s="661"/>
    </row>
    <row r="15" spans="2:30">
      <c r="B15" s="433"/>
      <c r="W15" s="453">
        <v>10</v>
      </c>
      <c r="X15" s="660" t="s">
        <v>1602</v>
      </c>
      <c r="Y15" s="660"/>
      <c r="Z15" s="660"/>
      <c r="AA15" s="660"/>
      <c r="AB15" s="660"/>
      <c r="AC15" s="660"/>
      <c r="AD15" s="661"/>
    </row>
    <row r="16" spans="2:30">
      <c r="B16" s="433"/>
      <c r="W16" s="453">
        <v>11</v>
      </c>
      <c r="X16" s="660" t="s">
        <v>1603</v>
      </c>
      <c r="Y16" s="660"/>
      <c r="Z16" s="660"/>
      <c r="AA16" s="660"/>
      <c r="AB16" s="660"/>
      <c r="AC16" s="660"/>
      <c r="AD16" s="661"/>
    </row>
    <row r="17" spans="2:30">
      <c r="B17" s="433"/>
      <c r="W17" s="453">
        <v>12</v>
      </c>
      <c r="X17" s="660" t="s">
        <v>1604</v>
      </c>
      <c r="Y17" s="660"/>
      <c r="Z17" s="660"/>
      <c r="AA17" s="660"/>
      <c r="AB17" s="660"/>
      <c r="AC17" s="660"/>
      <c r="AD17" s="661"/>
    </row>
    <row r="18" spans="2:30">
      <c r="B18" s="436"/>
      <c r="C18" s="437"/>
      <c r="D18" s="437"/>
      <c r="W18" s="453">
        <v>13</v>
      </c>
      <c r="X18" s="660"/>
      <c r="Y18" s="660"/>
      <c r="Z18" s="660"/>
      <c r="AA18" s="660"/>
      <c r="AB18" s="660"/>
      <c r="AC18" s="660"/>
      <c r="AD18" s="661"/>
    </row>
    <row r="19" spans="2:30">
      <c r="B19" s="433"/>
      <c r="W19" s="454"/>
      <c r="X19" s="678"/>
      <c r="Y19" s="678"/>
      <c r="Z19" s="678"/>
      <c r="AA19" s="678"/>
      <c r="AB19" s="678"/>
      <c r="AC19" s="678"/>
      <c r="AD19" s="679"/>
    </row>
    <row r="20" spans="2:30">
      <c r="B20" s="433"/>
      <c r="W20" s="680" t="s">
        <v>1605</v>
      </c>
      <c r="X20" s="681"/>
      <c r="Y20" s="681"/>
      <c r="Z20" s="681"/>
      <c r="AA20" s="681"/>
      <c r="AB20" s="681"/>
      <c r="AC20" s="681"/>
      <c r="AD20" s="682"/>
    </row>
    <row r="21" spans="2:30">
      <c r="B21" s="433"/>
      <c r="W21" s="683" t="s">
        <v>1606</v>
      </c>
      <c r="X21" s="684"/>
      <c r="Y21" s="684"/>
      <c r="Z21" s="685"/>
      <c r="AA21" s="686" t="s">
        <v>1607</v>
      </c>
      <c r="AB21" s="687"/>
      <c r="AC21" s="687"/>
      <c r="AD21" s="688"/>
    </row>
    <row r="22" spans="2:30">
      <c r="B22" s="433"/>
      <c r="W22" s="524" t="s">
        <v>1655</v>
      </c>
      <c r="X22" s="507"/>
      <c r="Y22" s="486">
        <v>1</v>
      </c>
      <c r="Z22" s="513" t="s">
        <v>1031</v>
      </c>
      <c r="AA22" s="669" t="s">
        <v>1675</v>
      </c>
      <c r="AB22" s="670"/>
      <c r="AC22" s="438">
        <v>1</v>
      </c>
      <c r="AD22" s="439" t="s">
        <v>1031</v>
      </c>
    </row>
    <row r="23" spans="2:30">
      <c r="B23" s="433"/>
      <c r="W23" s="524" t="s">
        <v>1630</v>
      </c>
      <c r="X23" s="507"/>
      <c r="Y23" s="518">
        <v>1</v>
      </c>
      <c r="Z23" s="519" t="s">
        <v>1031</v>
      </c>
      <c r="AA23" s="669" t="s">
        <v>1623</v>
      </c>
      <c r="AB23" s="670"/>
      <c r="AC23" s="438">
        <v>1</v>
      </c>
      <c r="AD23" s="439" t="s">
        <v>93</v>
      </c>
    </row>
    <row r="24" spans="2:30">
      <c r="B24" s="433"/>
      <c r="W24" s="524" t="s">
        <v>1631</v>
      </c>
      <c r="X24" s="507"/>
      <c r="Y24" s="486">
        <v>1</v>
      </c>
      <c r="Z24" s="513" t="s">
        <v>1031</v>
      </c>
      <c r="AA24" s="669" t="s">
        <v>1651</v>
      </c>
      <c r="AB24" s="670"/>
      <c r="AC24" s="438">
        <v>1</v>
      </c>
      <c r="AD24" s="439" t="s">
        <v>1031</v>
      </c>
    </row>
    <row r="25" spans="2:30">
      <c r="B25" s="433"/>
      <c r="W25" s="520" t="s">
        <v>1632</v>
      </c>
      <c r="X25" s="521"/>
      <c r="Y25" s="518">
        <v>1</v>
      </c>
      <c r="Z25" s="519" t="s">
        <v>1031</v>
      </c>
      <c r="AA25" s="669" t="s">
        <v>1678</v>
      </c>
      <c r="AB25" s="670"/>
      <c r="AC25" s="438">
        <v>1</v>
      </c>
      <c r="AD25" s="439" t="s">
        <v>1031</v>
      </c>
    </row>
    <row r="26" spans="2:30">
      <c r="B26" s="433"/>
      <c r="M26" s="440"/>
      <c r="W26" s="517" t="s">
        <v>1633</v>
      </c>
      <c r="X26" s="487"/>
      <c r="Y26" s="486">
        <v>1</v>
      </c>
      <c r="Z26" s="513" t="s">
        <v>1031</v>
      </c>
      <c r="AA26" s="669" t="s">
        <v>1655</v>
      </c>
      <c r="AB26" s="670"/>
      <c r="AC26" s="438">
        <v>1</v>
      </c>
      <c r="AD26" s="439" t="s">
        <v>1031</v>
      </c>
    </row>
    <row r="27" spans="2:30">
      <c r="B27" s="433"/>
      <c r="W27" s="522" t="s">
        <v>1676</v>
      </c>
      <c r="X27" s="523"/>
      <c r="Y27" s="515">
        <v>1</v>
      </c>
      <c r="Z27" s="516" t="s">
        <v>1031</v>
      </c>
      <c r="AA27" s="669"/>
      <c r="AB27" s="670"/>
      <c r="AC27" s="438"/>
      <c r="AD27" s="439"/>
    </row>
    <row r="28" spans="2:30">
      <c r="B28" s="433"/>
      <c r="W28" s="517" t="s">
        <v>1650</v>
      </c>
      <c r="X28" s="487"/>
      <c r="Y28" s="486">
        <v>25</v>
      </c>
      <c r="Z28" s="513" t="s">
        <v>7</v>
      </c>
      <c r="AA28" s="669"/>
      <c r="AB28" s="670"/>
      <c r="AC28" s="438"/>
      <c r="AD28" s="439"/>
    </row>
    <row r="29" spans="2:30">
      <c r="B29" s="433"/>
      <c r="W29" s="658" t="s">
        <v>1677</v>
      </c>
      <c r="X29" s="659"/>
      <c r="Y29" s="486">
        <v>1</v>
      </c>
      <c r="Z29" s="513" t="s">
        <v>14</v>
      </c>
      <c r="AA29" s="669"/>
      <c r="AB29" s="670"/>
      <c r="AC29" s="438"/>
      <c r="AD29" s="439"/>
    </row>
    <row r="30" spans="2:30">
      <c r="B30" s="433"/>
      <c r="U30" s="441"/>
      <c r="W30" s="524" t="s">
        <v>1679</v>
      </c>
      <c r="X30" s="507"/>
      <c r="Y30" s="486">
        <v>3</v>
      </c>
      <c r="Z30" s="513" t="s">
        <v>1031</v>
      </c>
      <c r="AA30" s="669"/>
      <c r="AB30" s="670"/>
      <c r="AC30" s="442"/>
      <c r="AD30" s="439"/>
    </row>
    <row r="31" spans="2:30">
      <c r="B31" s="433"/>
      <c r="T31" s="441"/>
      <c r="W31" s="524" t="s">
        <v>1680</v>
      </c>
      <c r="X31" s="507"/>
      <c r="Y31" s="486">
        <v>1</v>
      </c>
      <c r="Z31" s="513" t="s">
        <v>14</v>
      </c>
      <c r="AA31" s="669"/>
      <c r="AB31" s="670"/>
      <c r="AC31" s="442"/>
      <c r="AD31" s="439"/>
    </row>
    <row r="32" spans="2:30">
      <c r="B32" s="433"/>
      <c r="T32" s="441"/>
      <c r="W32" s="524"/>
      <c r="X32" s="507"/>
      <c r="Y32" s="486"/>
      <c r="Z32" s="513"/>
      <c r="AA32" s="669"/>
      <c r="AB32" s="670"/>
      <c r="AC32" s="438"/>
      <c r="AD32" s="439"/>
    </row>
    <row r="33" spans="2:47" ht="14.25" customHeight="1">
      <c r="B33" s="433"/>
      <c r="W33" s="524"/>
      <c r="X33" s="507"/>
      <c r="Y33" s="486"/>
      <c r="Z33" s="513"/>
      <c r="AA33" s="669"/>
      <c r="AB33" s="670"/>
      <c r="AC33" s="438"/>
      <c r="AD33" s="439"/>
    </row>
    <row r="34" spans="2:47" ht="14.25" customHeight="1">
      <c r="B34" s="433"/>
      <c r="W34" s="524"/>
      <c r="X34" s="507"/>
      <c r="Y34" s="486"/>
      <c r="Z34" s="513"/>
      <c r="AA34" s="669"/>
      <c r="AB34" s="670"/>
      <c r="AC34" s="438"/>
      <c r="AD34" s="439"/>
    </row>
    <row r="35" spans="2:47" ht="14.25" customHeight="1">
      <c r="B35" s="433"/>
      <c r="W35" s="524"/>
      <c r="X35" s="507"/>
      <c r="Y35" s="486"/>
      <c r="Z35" s="513"/>
      <c r="AA35" s="669"/>
      <c r="AB35" s="670"/>
      <c r="AC35" s="438"/>
      <c r="AD35" s="439"/>
    </row>
    <row r="36" spans="2:47">
      <c r="B36" s="433"/>
      <c r="W36" s="658"/>
      <c r="X36" s="659"/>
      <c r="Y36" s="486"/>
      <c r="Z36" s="513"/>
      <c r="AA36" s="669"/>
      <c r="AB36" s="670"/>
      <c r="AC36" s="438"/>
      <c r="AD36" s="439"/>
    </row>
    <row r="37" spans="2:47">
      <c r="B37" s="433"/>
      <c r="W37" s="658"/>
      <c r="X37" s="659"/>
      <c r="Y37" s="486"/>
      <c r="Z37" s="513"/>
      <c r="AA37" s="669"/>
      <c r="AB37" s="670"/>
      <c r="AC37" s="438"/>
      <c r="AD37" s="439"/>
    </row>
    <row r="38" spans="2:47">
      <c r="B38" s="433"/>
      <c r="W38" s="658"/>
      <c r="X38" s="659"/>
      <c r="Y38" s="486"/>
      <c r="Z38" s="513"/>
      <c r="AA38" s="669"/>
      <c r="AB38" s="670"/>
      <c r="AC38" s="438"/>
      <c r="AD38" s="439"/>
    </row>
    <row r="39" spans="2:47" ht="12.75" customHeight="1">
      <c r="B39" s="433"/>
      <c r="W39" s="524"/>
      <c r="X39" s="507"/>
      <c r="Y39" s="486"/>
      <c r="Z39" s="513"/>
      <c r="AA39" s="669"/>
      <c r="AB39" s="670"/>
      <c r="AC39" s="438"/>
      <c r="AD39" s="439"/>
    </row>
    <row r="40" spans="2:47" ht="12" customHeight="1">
      <c r="B40" s="433"/>
      <c r="U40" s="437"/>
      <c r="W40" s="668"/>
      <c r="X40" s="668"/>
      <c r="Y40" s="519"/>
      <c r="Z40" s="518"/>
      <c r="AA40" s="669"/>
      <c r="AB40" s="670"/>
      <c r="AC40" s="438"/>
      <c r="AD40" s="439"/>
      <c r="AL40" s="437"/>
    </row>
    <row r="41" spans="2:47" ht="12" customHeight="1">
      <c r="B41" s="433"/>
      <c r="W41" s="680" t="s">
        <v>1608</v>
      </c>
      <c r="X41" s="681"/>
      <c r="Y41" s="681"/>
      <c r="Z41" s="681"/>
      <c r="AA41" s="681"/>
      <c r="AB41" s="681"/>
      <c r="AC41" s="681"/>
      <c r="AD41" s="682"/>
    </row>
    <row r="42" spans="2:47" ht="12" customHeight="1">
      <c r="B42" s="433"/>
      <c r="W42" s="662" t="s">
        <v>1661</v>
      </c>
      <c r="X42" s="663"/>
      <c r="Y42" s="663"/>
      <c r="Z42" s="663"/>
      <c r="AA42" s="663"/>
      <c r="AB42" s="663"/>
      <c r="AC42" s="663"/>
      <c r="AD42" s="664"/>
    </row>
    <row r="43" spans="2:47" ht="12" customHeight="1">
      <c r="B43" s="433"/>
      <c r="V43" s="443"/>
      <c r="W43" s="665"/>
      <c r="X43" s="666"/>
      <c r="Y43" s="666"/>
      <c r="Z43" s="666"/>
      <c r="AA43" s="666"/>
      <c r="AB43" s="666"/>
      <c r="AC43" s="666"/>
      <c r="AD43" s="667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89" t="s">
        <v>1609</v>
      </c>
      <c r="X44" s="690"/>
      <c r="Y44" s="660"/>
      <c r="Z44" s="660"/>
      <c r="AA44" s="660"/>
      <c r="AB44" s="660"/>
      <c r="AC44" s="660"/>
      <c r="AD44" s="661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89" t="s">
        <v>1610</v>
      </c>
      <c r="X45" s="690"/>
      <c r="Y45" s="660">
        <v>1</v>
      </c>
      <c r="Z45" s="660"/>
      <c r="AA45" s="660"/>
      <c r="AB45" s="660" t="s">
        <v>1611</v>
      </c>
      <c r="AC45" s="660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89" t="s">
        <v>1613</v>
      </c>
      <c r="X46" s="690"/>
      <c r="Y46" s="691"/>
      <c r="Z46" s="691"/>
      <c r="AA46" s="691"/>
      <c r="AB46" s="660" t="s">
        <v>1614</v>
      </c>
      <c r="AC46" s="660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92" t="s">
        <v>1615</v>
      </c>
      <c r="X47" s="692"/>
      <c r="Y47" s="692"/>
      <c r="Z47" s="692"/>
      <c r="AA47" s="692"/>
      <c r="AB47" s="692"/>
      <c r="AC47" s="692"/>
      <c r="AD47" s="693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8" t="s">
        <v>1662</v>
      </c>
      <c r="X48" s="698"/>
      <c r="Y48" s="698"/>
      <c r="Z48" s="698"/>
      <c r="AA48" s="698"/>
      <c r="AB48" s="698"/>
      <c r="AC48" s="698"/>
      <c r="AD48" s="699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8"/>
      <c r="X49" s="698"/>
      <c r="Y49" s="698"/>
      <c r="Z49" s="698"/>
      <c r="AA49" s="698"/>
      <c r="AB49" s="698"/>
      <c r="AC49" s="698"/>
      <c r="AD49" s="699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700"/>
      <c r="X50" s="700"/>
      <c r="Y50" s="700"/>
      <c r="Z50" s="700"/>
      <c r="AA50" s="700"/>
      <c r="AB50" s="700"/>
      <c r="AC50" s="700"/>
      <c r="AD50" s="701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89" t="s">
        <v>1616</v>
      </c>
      <c r="X51" s="690"/>
      <c r="Y51" s="660" t="s">
        <v>1642</v>
      </c>
      <c r="Z51" s="660"/>
      <c r="AA51" s="660"/>
      <c r="AB51" s="660"/>
      <c r="AC51" s="660"/>
      <c r="AD51" s="661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89" t="s">
        <v>1617</v>
      </c>
      <c r="X52" s="690"/>
      <c r="Y52" s="660" t="s">
        <v>1634</v>
      </c>
      <c r="Z52" s="660"/>
      <c r="AA52" s="660"/>
      <c r="AB52" s="660"/>
      <c r="AC52" s="660"/>
      <c r="AD52" s="661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89" t="s">
        <v>1618</v>
      </c>
      <c r="X53" s="690"/>
      <c r="Y53" s="660" t="s">
        <v>1635</v>
      </c>
      <c r="Z53" s="660"/>
      <c r="AA53" s="660"/>
      <c r="AB53" s="660"/>
      <c r="AC53" s="660"/>
      <c r="AD53" s="661"/>
      <c r="BB53" s="441"/>
    </row>
    <row r="54" spans="2:55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94" t="s">
        <v>1619</v>
      </c>
      <c r="X54" s="695"/>
      <c r="Y54" s="696" t="s">
        <v>1636</v>
      </c>
      <c r="Z54" s="696"/>
      <c r="AA54" s="696"/>
      <c r="AB54" s="696"/>
      <c r="AC54" s="696"/>
      <c r="AD54" s="697"/>
      <c r="BB54" s="441"/>
    </row>
    <row r="62" spans="2:55">
      <c r="BC62" s="437"/>
    </row>
    <row r="66" spans="38:55"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38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8"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  <mergeCell ref="AA36:AB36"/>
    <mergeCell ref="W37:X37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22:AB22"/>
    <mergeCell ref="AA23:AB23"/>
    <mergeCell ref="AA24:AB24"/>
    <mergeCell ref="AA25:AB25"/>
    <mergeCell ref="AA26:AB26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AC8:AD8"/>
    <mergeCell ref="W2:AD3"/>
    <mergeCell ref="D5:F5"/>
    <mergeCell ref="X5:Z5"/>
    <mergeCell ref="AA5:AB5"/>
    <mergeCell ref="AC5:AD5"/>
    <mergeCell ref="W29:X29"/>
    <mergeCell ref="X6:Z6"/>
    <mergeCell ref="AA6:AB6"/>
    <mergeCell ref="AC6:AD6"/>
    <mergeCell ref="W42:AD43"/>
    <mergeCell ref="W40:X40"/>
    <mergeCell ref="AA40:AB40"/>
    <mergeCell ref="AA38:AB38"/>
    <mergeCell ref="AA39:AB39"/>
    <mergeCell ref="W36:X36"/>
    <mergeCell ref="W38:X38"/>
    <mergeCell ref="X7:Z7"/>
    <mergeCell ref="AA7:AB7"/>
    <mergeCell ref="AC7:AD7"/>
    <mergeCell ref="X8:Z8"/>
    <mergeCell ref="AA8:AB8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RowHeight="15"/>
  <cols>
    <col min="1" max="1" width="8.28515625" style="259" customWidth="1"/>
    <col min="2" max="2" width="5.140625" style="260" customWidth="1"/>
    <col min="3" max="3" width="44.710937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29" t="s">
        <v>1009</v>
      </c>
      <c r="P3" s="629"/>
      <c r="Q3" s="269"/>
      <c r="T3" s="267"/>
      <c r="U3" s="268" t="s">
        <v>1014</v>
      </c>
      <c r="V3" s="267"/>
    </row>
    <row r="4" spans="1:22" ht="15.75" customHeight="1">
      <c r="B4" s="630" t="s">
        <v>1645</v>
      </c>
      <c r="C4" s="630"/>
      <c r="D4" s="630"/>
      <c r="E4" s="630"/>
      <c r="F4" s="630"/>
      <c r="G4" s="630"/>
      <c r="H4" s="630"/>
      <c r="I4" s="630"/>
      <c r="J4" s="630"/>
      <c r="K4" s="630"/>
      <c r="O4" s="629"/>
      <c r="P4" s="629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46" t="s">
        <v>1640</v>
      </c>
      <c r="H6" s="646"/>
      <c r="I6" s="646"/>
      <c r="J6" s="646"/>
      <c r="K6" s="646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1641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2" t="s">
        <v>0</v>
      </c>
      <c r="C11" s="634" t="s">
        <v>1</v>
      </c>
      <c r="D11" s="637" t="s">
        <v>34</v>
      </c>
      <c r="E11" s="637" t="s">
        <v>35</v>
      </c>
      <c r="F11" s="637" t="s">
        <v>2</v>
      </c>
      <c r="G11" s="639" t="s">
        <v>33</v>
      </c>
      <c r="H11" s="637" t="s">
        <v>3</v>
      </c>
      <c r="I11" s="637"/>
      <c r="J11" s="637"/>
      <c r="K11" s="656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3"/>
      <c r="C12" s="635"/>
      <c r="D12" s="638"/>
      <c r="E12" s="638"/>
      <c r="F12" s="638"/>
      <c r="G12" s="640"/>
      <c r="H12" s="642" t="s">
        <v>38</v>
      </c>
      <c r="I12" s="642" t="s">
        <v>5</v>
      </c>
      <c r="J12" s="638" t="s">
        <v>39</v>
      </c>
      <c r="K12" s="657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3"/>
      <c r="C13" s="636"/>
      <c r="D13" s="638"/>
      <c r="E13" s="638"/>
      <c r="F13" s="638"/>
      <c r="G13" s="641"/>
      <c r="H13" s="643"/>
      <c r="I13" s="643"/>
      <c r="J13" s="638"/>
      <c r="K13" s="657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5.7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31" t="s">
        <v>984</v>
      </c>
      <c r="D160" s="631"/>
      <c r="E160" s="631"/>
      <c r="F160" s="631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47" t="s">
        <v>1427</v>
      </c>
      <c r="D161" s="647"/>
      <c r="E161" s="647"/>
      <c r="F161" s="647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5.75" thickBot="1">
      <c r="B162" s="320"/>
      <c r="C162" s="645" t="s">
        <v>456</v>
      </c>
      <c r="D162" s="645"/>
      <c r="E162" s="645"/>
      <c r="F162" s="645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48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49"/>
      <c r="D163" s="649"/>
      <c r="E163" s="649"/>
      <c r="F163" s="649"/>
      <c r="G163" s="649"/>
      <c r="H163" s="649"/>
      <c r="I163" s="649"/>
      <c r="J163" s="649"/>
      <c r="K163" s="650"/>
    </row>
    <row r="164" spans="2:13">
      <c r="B164" s="651"/>
      <c r="C164" s="652"/>
      <c r="D164" s="652"/>
      <c r="E164" s="652"/>
      <c r="F164" s="652"/>
      <c r="G164" s="652"/>
      <c r="H164" s="652"/>
      <c r="I164" s="652"/>
      <c r="J164" s="652"/>
      <c r="K164" s="653"/>
    </row>
    <row r="165" spans="2:13" ht="15.7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54"/>
      <c r="I167" s="654"/>
      <c r="J167" s="655"/>
      <c r="K167" s="655"/>
    </row>
    <row r="168" spans="2:13">
      <c r="C168" s="260"/>
      <c r="E168" s="333"/>
      <c r="F168" s="333"/>
      <c r="G168" s="333"/>
      <c r="H168" s="334"/>
      <c r="I168" s="644" t="s">
        <v>1646</v>
      </c>
      <c r="J168" s="644"/>
      <c r="K168" s="644"/>
    </row>
    <row r="169" spans="2:13">
      <c r="C169" s="260"/>
      <c r="E169" s="333"/>
      <c r="F169" s="333"/>
      <c r="G169" s="333"/>
      <c r="H169" s="334"/>
      <c r="I169" s="644" t="s">
        <v>1514</v>
      </c>
      <c r="J169" s="644"/>
      <c r="K169" s="644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44" t="s">
        <v>1515</v>
      </c>
      <c r="J174" s="644"/>
      <c r="K174" s="644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  <mergeCell ref="I174:K174"/>
    <mergeCell ref="H12:H13"/>
    <mergeCell ref="I12:I13"/>
    <mergeCell ref="J12:J13"/>
    <mergeCell ref="K12:K13"/>
    <mergeCell ref="C162:F162"/>
    <mergeCell ref="B163:K164"/>
    <mergeCell ref="H167:K167"/>
    <mergeCell ref="I168:K168"/>
    <mergeCell ref="I169:K169"/>
  </mergeCells>
  <conditionalFormatting sqref="C15:C18">
    <cfRule type="cellIs" dxfId="11" priority="6" operator="equal">
      <formula>0</formula>
    </cfRule>
  </conditionalFormatting>
  <conditionalFormatting sqref="C39">
    <cfRule type="cellIs" dxfId="10" priority="14" operator="equal">
      <formula>0</formula>
    </cfRule>
  </conditionalFormatting>
  <conditionalFormatting sqref="C80:C81">
    <cfRule type="cellIs" dxfId="9" priority="13" operator="equal">
      <formula>0</formula>
    </cfRule>
  </conditionalFormatting>
  <conditionalFormatting sqref="C84:C86">
    <cfRule type="cellIs" dxfId="8" priority="3" operator="equal">
      <formula>0</formula>
    </cfRule>
  </conditionalFormatting>
  <conditionalFormatting sqref="C133">
    <cfRule type="cellIs" dxfId="7" priority="10" operator="equal">
      <formula>0</formula>
    </cfRule>
  </conditionalFormatting>
  <conditionalFormatting sqref="C153">
    <cfRule type="cellIs" dxfId="6" priority="1" operator="equal">
      <formula>0</formula>
    </cfRule>
    <cfRule type="cellIs" dxfId="5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4" priority="16" stopIfTrue="1" operator="equal">
      <formula>0</formula>
    </cfRule>
  </conditionalFormatting>
  <conditionalFormatting sqref="E46:K155">
    <cfRule type="cellIs" dxfId="3" priority="5" stopIfTrue="1" operator="equal">
      <formula>0</formula>
    </cfRule>
  </conditionalFormatting>
  <conditionalFormatting sqref="F40:F45">
    <cfRule type="cellIs" dxfId="2" priority="4" stopIfTrue="1" operator="equal">
      <formula>0</formula>
    </cfRule>
  </conditionalFormatting>
  <conditionalFormatting sqref="G157:G65624 E163:E65624">
    <cfRule type="cellIs" dxfId="1" priority="1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71" t="s">
        <v>1620</v>
      </c>
      <c r="X2" s="672"/>
      <c r="Y2" s="672"/>
      <c r="Z2" s="672"/>
      <c r="AA2" s="672"/>
      <c r="AB2" s="672"/>
      <c r="AC2" s="672"/>
      <c r="AD2" s="673"/>
    </row>
    <row r="3" spans="2:30" ht="12" customHeight="1">
      <c r="B3" s="433"/>
      <c r="W3" s="674"/>
      <c r="X3" s="675"/>
      <c r="Y3" s="675"/>
      <c r="Z3" s="675"/>
      <c r="AA3" s="675"/>
      <c r="AB3" s="675"/>
      <c r="AC3" s="675"/>
      <c r="AD3" s="676"/>
    </row>
    <row r="4" spans="2:30">
      <c r="B4" s="433"/>
      <c r="W4" s="434" t="s">
        <v>1588</v>
      </c>
      <c r="AD4" s="435"/>
    </row>
    <row r="5" spans="2:30">
      <c r="B5" s="433"/>
      <c r="D5" s="677" t="s">
        <v>1637</v>
      </c>
      <c r="E5" s="677"/>
      <c r="F5" s="677"/>
      <c r="W5" s="453" t="s">
        <v>1589</v>
      </c>
      <c r="X5" s="660" t="s">
        <v>1590</v>
      </c>
      <c r="Y5" s="660"/>
      <c r="Z5" s="660"/>
      <c r="AA5" s="660" t="s">
        <v>1591</v>
      </c>
      <c r="AB5" s="660"/>
      <c r="AC5" s="660" t="s">
        <v>1592</v>
      </c>
      <c r="AD5" s="661"/>
    </row>
    <row r="6" spans="2:30">
      <c r="B6" s="433"/>
      <c r="D6" s="501" t="s">
        <v>1638</v>
      </c>
      <c r="W6" s="453">
        <v>1</v>
      </c>
      <c r="X6" s="660" t="s">
        <v>1593</v>
      </c>
      <c r="Y6" s="660"/>
      <c r="Z6" s="660"/>
      <c r="AA6" s="660"/>
      <c r="AB6" s="660"/>
      <c r="AC6" s="660"/>
      <c r="AD6" s="661"/>
    </row>
    <row r="7" spans="2:30">
      <c r="B7" s="433"/>
      <c r="W7" s="453">
        <v>2</v>
      </c>
      <c r="X7" s="660" t="s">
        <v>1594</v>
      </c>
      <c r="Y7" s="660"/>
      <c r="Z7" s="660"/>
      <c r="AA7" s="660"/>
      <c r="AB7" s="660"/>
      <c r="AC7" s="660"/>
      <c r="AD7" s="661"/>
    </row>
    <row r="8" spans="2:30">
      <c r="B8" s="433"/>
      <c r="W8" s="453">
        <v>3</v>
      </c>
      <c r="X8" s="660" t="s">
        <v>1595</v>
      </c>
      <c r="Y8" s="660"/>
      <c r="Z8" s="660"/>
      <c r="AA8" s="660"/>
      <c r="AB8" s="660"/>
      <c r="AC8" s="660"/>
      <c r="AD8" s="661"/>
    </row>
    <row r="9" spans="2:30">
      <c r="B9" s="433"/>
      <c r="W9" s="453">
        <v>4</v>
      </c>
      <c r="X9" s="660" t="s">
        <v>1596</v>
      </c>
      <c r="Y9" s="660"/>
      <c r="Z9" s="660"/>
      <c r="AA9" s="660"/>
      <c r="AB9" s="660"/>
      <c r="AC9" s="660"/>
      <c r="AD9" s="661"/>
    </row>
    <row r="10" spans="2:30">
      <c r="B10" s="433"/>
      <c r="W10" s="453">
        <v>5</v>
      </c>
      <c r="X10" s="660" t="s">
        <v>1597</v>
      </c>
      <c r="Y10" s="660"/>
      <c r="Z10" s="660"/>
      <c r="AA10" s="660"/>
      <c r="AB10" s="660"/>
      <c r="AC10" s="660"/>
      <c r="AD10" s="661"/>
    </row>
    <row r="11" spans="2:30">
      <c r="B11" s="433"/>
      <c r="W11" s="453">
        <v>6</v>
      </c>
      <c r="X11" s="660" t="s">
        <v>1598</v>
      </c>
      <c r="Y11" s="660"/>
      <c r="Z11" s="660"/>
      <c r="AA11" s="660"/>
      <c r="AB11" s="660"/>
      <c r="AC11" s="660"/>
      <c r="AD11" s="661"/>
    </row>
    <row r="12" spans="2:30">
      <c r="B12" s="433"/>
      <c r="W12" s="453">
        <v>7</v>
      </c>
      <c r="X12" s="660" t="s">
        <v>1599</v>
      </c>
      <c r="Y12" s="660"/>
      <c r="Z12" s="660"/>
      <c r="AA12" s="660"/>
      <c r="AB12" s="660"/>
      <c r="AC12" s="660"/>
      <c r="AD12" s="661"/>
    </row>
    <row r="13" spans="2:30" ht="12.75" customHeight="1">
      <c r="B13" s="433"/>
      <c r="W13" s="453">
        <v>8</v>
      </c>
      <c r="X13" s="660" t="s">
        <v>1600</v>
      </c>
      <c r="Y13" s="660"/>
      <c r="Z13" s="660"/>
      <c r="AA13" s="660"/>
      <c r="AB13" s="660"/>
      <c r="AC13" s="660"/>
      <c r="AD13" s="661"/>
    </row>
    <row r="14" spans="2:30">
      <c r="B14" s="433"/>
      <c r="W14" s="453">
        <v>9</v>
      </c>
      <c r="X14" s="660" t="s">
        <v>1601</v>
      </c>
      <c r="Y14" s="660"/>
      <c r="Z14" s="660"/>
      <c r="AA14" s="660"/>
      <c r="AB14" s="660"/>
      <c r="AC14" s="660"/>
      <c r="AD14" s="661"/>
    </row>
    <row r="15" spans="2:30">
      <c r="B15" s="433"/>
      <c r="W15" s="453">
        <v>10</v>
      </c>
      <c r="X15" s="660" t="s">
        <v>1602</v>
      </c>
      <c r="Y15" s="660"/>
      <c r="Z15" s="660"/>
      <c r="AA15" s="660"/>
      <c r="AB15" s="660"/>
      <c r="AC15" s="660"/>
      <c r="AD15" s="661"/>
    </row>
    <row r="16" spans="2:30">
      <c r="B16" s="433"/>
      <c r="W16" s="453">
        <v>11</v>
      </c>
      <c r="X16" s="660" t="s">
        <v>1603</v>
      </c>
      <c r="Y16" s="660"/>
      <c r="Z16" s="660"/>
      <c r="AA16" s="660"/>
      <c r="AB16" s="660"/>
      <c r="AC16" s="660"/>
      <c r="AD16" s="661"/>
    </row>
    <row r="17" spans="2:30">
      <c r="B17" s="433"/>
      <c r="W17" s="453">
        <v>12</v>
      </c>
      <c r="X17" s="660" t="s">
        <v>1604</v>
      </c>
      <c r="Y17" s="660"/>
      <c r="Z17" s="660"/>
      <c r="AA17" s="660"/>
      <c r="AB17" s="660"/>
      <c r="AC17" s="660"/>
      <c r="AD17" s="661"/>
    </row>
    <row r="18" spans="2:30">
      <c r="B18" s="436"/>
      <c r="C18" s="437"/>
      <c r="D18" s="437"/>
      <c r="W18" s="453">
        <v>13</v>
      </c>
      <c r="X18" s="660"/>
      <c r="Y18" s="660"/>
      <c r="Z18" s="660"/>
      <c r="AA18" s="660"/>
      <c r="AB18" s="660"/>
      <c r="AC18" s="660"/>
      <c r="AD18" s="661"/>
    </row>
    <row r="19" spans="2:30">
      <c r="B19" s="433"/>
      <c r="W19" s="454"/>
      <c r="X19" s="678"/>
      <c r="Y19" s="678"/>
      <c r="Z19" s="678"/>
      <c r="AA19" s="678"/>
      <c r="AB19" s="678"/>
      <c r="AC19" s="678"/>
      <c r="AD19" s="679"/>
    </row>
    <row r="20" spans="2:30">
      <c r="B20" s="433"/>
      <c r="W20" s="680" t="s">
        <v>1605</v>
      </c>
      <c r="X20" s="681"/>
      <c r="Y20" s="681"/>
      <c r="Z20" s="681"/>
      <c r="AA20" s="681"/>
      <c r="AB20" s="681"/>
      <c r="AC20" s="681"/>
      <c r="AD20" s="682"/>
    </row>
    <row r="21" spans="2:30">
      <c r="B21" s="433"/>
      <c r="W21" s="702" t="s">
        <v>1606</v>
      </c>
      <c r="X21" s="703"/>
      <c r="Y21" s="703"/>
      <c r="Z21" s="704"/>
      <c r="AA21" s="686" t="s">
        <v>1607</v>
      </c>
      <c r="AB21" s="687"/>
      <c r="AC21" s="687"/>
      <c r="AD21" s="688"/>
    </row>
    <row r="22" spans="2:30">
      <c r="B22" s="433"/>
      <c r="W22" s="708" t="s">
        <v>1643</v>
      </c>
      <c r="X22" s="709"/>
      <c r="Y22" s="486">
        <v>1</v>
      </c>
      <c r="Z22" s="502" t="s">
        <v>93</v>
      </c>
      <c r="AA22" s="710" t="s">
        <v>1623</v>
      </c>
      <c r="AB22" s="670"/>
      <c r="AC22" s="438">
        <v>1</v>
      </c>
      <c r="AD22" s="439" t="s">
        <v>93</v>
      </c>
    </row>
    <row r="23" spans="2:30">
      <c r="B23" s="433"/>
      <c r="W23" s="707" t="s">
        <v>1624</v>
      </c>
      <c r="X23" s="659"/>
      <c r="Y23" s="486">
        <v>2</v>
      </c>
      <c r="Z23" s="502" t="s">
        <v>1031</v>
      </c>
      <c r="AA23" s="710" t="s">
        <v>1639</v>
      </c>
      <c r="AB23" s="670"/>
      <c r="AC23" s="438">
        <v>1</v>
      </c>
      <c r="AD23" s="439" t="s">
        <v>1031</v>
      </c>
    </row>
    <row r="24" spans="2:30">
      <c r="B24" s="433"/>
      <c r="W24" s="707" t="s">
        <v>1639</v>
      </c>
      <c r="X24" s="659"/>
      <c r="Y24" s="486">
        <v>1</v>
      </c>
      <c r="Z24" s="502" t="s">
        <v>1031</v>
      </c>
      <c r="AA24" s="710" t="s">
        <v>1649</v>
      </c>
      <c r="AB24" s="670"/>
      <c r="AC24" s="438">
        <v>1</v>
      </c>
      <c r="AD24" s="439" t="s">
        <v>1031</v>
      </c>
    </row>
    <row r="25" spans="2:30">
      <c r="B25" s="433"/>
      <c r="W25" s="506" t="s">
        <v>1630</v>
      </c>
      <c r="X25" s="507"/>
      <c r="Y25" s="486">
        <v>1</v>
      </c>
      <c r="Z25" s="502" t="s">
        <v>1031</v>
      </c>
      <c r="AA25" s="705"/>
      <c r="AB25" s="706"/>
      <c r="AC25" s="438"/>
      <c r="AD25" s="439"/>
    </row>
    <row r="26" spans="2:30">
      <c r="B26" s="433"/>
      <c r="M26" s="440"/>
      <c r="W26" s="506" t="s">
        <v>1631</v>
      </c>
      <c r="X26" s="507"/>
      <c r="Y26" s="486">
        <v>1</v>
      </c>
      <c r="Z26" s="502" t="s">
        <v>1031</v>
      </c>
      <c r="AA26" s="705"/>
      <c r="AB26" s="706"/>
      <c r="AC26" s="438"/>
      <c r="AD26" s="439"/>
    </row>
    <row r="27" spans="2:30">
      <c r="B27" s="433"/>
      <c r="W27" s="487" t="s">
        <v>1632</v>
      </c>
      <c r="X27" s="488"/>
      <c r="Y27" s="486">
        <v>1</v>
      </c>
      <c r="Z27" s="502" t="s">
        <v>1031</v>
      </c>
      <c r="AA27" s="705"/>
      <c r="AB27" s="706"/>
      <c r="AC27" s="438"/>
      <c r="AD27" s="439"/>
    </row>
    <row r="28" spans="2:30">
      <c r="B28" s="433"/>
      <c r="W28" s="487" t="s">
        <v>1633</v>
      </c>
      <c r="X28" s="488"/>
      <c r="Y28" s="486">
        <v>1</v>
      </c>
      <c r="Z28" s="502" t="s">
        <v>1031</v>
      </c>
      <c r="AA28" s="705"/>
      <c r="AB28" s="706"/>
      <c r="AC28" s="438"/>
      <c r="AD28" s="439"/>
    </row>
    <row r="29" spans="2:30">
      <c r="B29" s="433"/>
      <c r="W29" s="707" t="s">
        <v>1625</v>
      </c>
      <c r="X29" s="659"/>
      <c r="Y29" s="486">
        <v>3</v>
      </c>
      <c r="Z29" s="502" t="s">
        <v>1031</v>
      </c>
      <c r="AA29" s="705"/>
      <c r="AB29" s="706"/>
      <c r="AC29" s="438"/>
      <c r="AD29" s="439"/>
    </row>
    <row r="30" spans="2:30">
      <c r="B30" s="433"/>
      <c r="U30" s="441"/>
      <c r="W30" s="511" t="s">
        <v>1644</v>
      </c>
      <c r="X30" s="512"/>
      <c r="Y30" s="486">
        <v>1</v>
      </c>
      <c r="Z30" s="502" t="s">
        <v>1031</v>
      </c>
      <c r="AA30" s="705"/>
      <c r="AB30" s="706"/>
      <c r="AC30" s="442"/>
      <c r="AD30" s="439"/>
    </row>
    <row r="31" spans="2:30" ht="14.25">
      <c r="B31" s="433"/>
      <c r="T31" s="441"/>
      <c r="W31" s="711" t="s">
        <v>1626</v>
      </c>
      <c r="X31" s="712"/>
      <c r="Y31" s="485">
        <f>30*4</f>
        <v>120</v>
      </c>
      <c r="Z31" s="503" t="s">
        <v>7</v>
      </c>
      <c r="AA31" s="705"/>
      <c r="AB31" s="706"/>
      <c r="AC31" s="442"/>
      <c r="AD31" s="439"/>
    </row>
    <row r="32" spans="2:30">
      <c r="B32" s="433"/>
      <c r="T32" s="441"/>
      <c r="W32" s="711"/>
      <c r="X32" s="712"/>
      <c r="Y32" s="485"/>
      <c r="Z32" s="503"/>
      <c r="AA32" s="705"/>
      <c r="AB32" s="706"/>
      <c r="AC32" s="438"/>
      <c r="AD32" s="439"/>
    </row>
    <row r="33" spans="2:30" ht="14.25" customHeight="1">
      <c r="B33" s="433"/>
      <c r="W33" s="707"/>
      <c r="X33" s="659"/>
      <c r="Y33" s="486"/>
      <c r="Z33" s="502"/>
      <c r="AA33" s="705"/>
      <c r="AB33" s="706"/>
      <c r="AC33" s="438"/>
      <c r="AD33" s="439"/>
    </row>
    <row r="34" spans="2:30" ht="14.25" customHeight="1">
      <c r="B34" s="433"/>
      <c r="W34" s="713"/>
      <c r="X34" s="714"/>
      <c r="Y34" s="486"/>
      <c r="Z34" s="502"/>
      <c r="AA34" s="705"/>
      <c r="AB34" s="706"/>
      <c r="AC34" s="438"/>
      <c r="AD34" s="439"/>
    </row>
    <row r="35" spans="2:30" ht="14.25" customHeight="1">
      <c r="B35" s="433"/>
      <c r="W35" s="713"/>
      <c r="X35" s="714"/>
      <c r="Y35" s="486"/>
      <c r="Z35" s="502"/>
      <c r="AA35" s="705"/>
      <c r="AB35" s="706"/>
      <c r="AC35" s="438"/>
      <c r="AD35" s="439"/>
    </row>
    <row r="36" spans="2:30">
      <c r="B36" s="433"/>
      <c r="W36" s="711"/>
      <c r="X36" s="712"/>
      <c r="Y36" s="485"/>
      <c r="Z36" s="503"/>
      <c r="AA36" s="705"/>
      <c r="AB36" s="706"/>
      <c r="AC36" s="438"/>
      <c r="AD36" s="439"/>
    </row>
    <row r="37" spans="2:30">
      <c r="B37" s="433"/>
      <c r="W37" s="711"/>
      <c r="X37" s="712"/>
      <c r="Y37" s="485"/>
      <c r="Z37" s="503"/>
      <c r="AA37" s="705"/>
      <c r="AB37" s="706"/>
      <c r="AC37" s="438"/>
      <c r="AD37" s="439"/>
    </row>
    <row r="38" spans="2:30">
      <c r="B38" s="433"/>
      <c r="W38" s="680" t="s">
        <v>1608</v>
      </c>
      <c r="X38" s="681"/>
      <c r="Y38" s="681"/>
      <c r="Z38" s="681"/>
      <c r="AA38" s="681"/>
      <c r="AB38" s="681"/>
      <c r="AC38" s="681"/>
      <c r="AD38" s="682"/>
    </row>
    <row r="39" spans="2:30" ht="12.75" customHeight="1">
      <c r="B39" s="433"/>
      <c r="W39" s="715"/>
      <c r="X39" s="716"/>
      <c r="Y39" s="716"/>
      <c r="Z39" s="716"/>
      <c r="AA39" s="716"/>
      <c r="AB39" s="716"/>
      <c r="AC39" s="716"/>
      <c r="AD39" s="717"/>
    </row>
    <row r="40" spans="2:30" ht="12" customHeight="1">
      <c r="B40" s="433"/>
      <c r="U40" s="437"/>
      <c r="W40" s="715"/>
      <c r="X40" s="716"/>
      <c r="Y40" s="716"/>
      <c r="Z40" s="716"/>
      <c r="AA40" s="716"/>
      <c r="AB40" s="716"/>
      <c r="AC40" s="716"/>
      <c r="AD40" s="717"/>
    </row>
    <row r="41" spans="2:30" ht="12" customHeight="1">
      <c r="B41" s="433"/>
      <c r="W41" s="715"/>
      <c r="X41" s="716"/>
      <c r="Y41" s="716"/>
      <c r="Z41" s="716"/>
      <c r="AA41" s="716"/>
      <c r="AB41" s="716"/>
      <c r="AC41" s="716"/>
      <c r="AD41" s="717"/>
    </row>
    <row r="42" spans="2:30" ht="12" customHeight="1">
      <c r="B42" s="433"/>
      <c r="W42" s="715"/>
      <c r="X42" s="716"/>
      <c r="Y42" s="716"/>
      <c r="Z42" s="716"/>
      <c r="AA42" s="716"/>
      <c r="AB42" s="716"/>
      <c r="AC42" s="716"/>
      <c r="AD42" s="717"/>
    </row>
    <row r="43" spans="2:30" ht="12" customHeight="1">
      <c r="B43" s="433"/>
      <c r="V43" s="443"/>
      <c r="W43" s="718"/>
      <c r="X43" s="719"/>
      <c r="Y43" s="719"/>
      <c r="Z43" s="719"/>
      <c r="AA43" s="719"/>
      <c r="AB43" s="719"/>
      <c r="AC43" s="719"/>
      <c r="AD43" s="720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89" t="s">
        <v>1609</v>
      </c>
      <c r="X44" s="690"/>
      <c r="Y44" s="660"/>
      <c r="Z44" s="660"/>
      <c r="AA44" s="660"/>
      <c r="AB44" s="660"/>
      <c r="AC44" s="660"/>
      <c r="AD44" s="661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89" t="s">
        <v>1610</v>
      </c>
      <c r="X45" s="690"/>
      <c r="Y45" s="660">
        <v>1</v>
      </c>
      <c r="Z45" s="660"/>
      <c r="AA45" s="660"/>
      <c r="AB45" s="660" t="s">
        <v>1611</v>
      </c>
      <c r="AC45" s="660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89" t="s">
        <v>1613</v>
      </c>
      <c r="X46" s="690"/>
      <c r="Y46" s="691"/>
      <c r="Z46" s="691"/>
      <c r="AA46" s="691"/>
      <c r="AB46" s="660" t="s">
        <v>1614</v>
      </c>
      <c r="AC46" s="660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92" t="s">
        <v>1615</v>
      </c>
      <c r="X47" s="692"/>
      <c r="Y47" s="692"/>
      <c r="Z47" s="692"/>
      <c r="AA47" s="692"/>
      <c r="AB47" s="692"/>
      <c r="AC47" s="692"/>
      <c r="AD47" s="693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98" t="s">
        <v>1648</v>
      </c>
      <c r="X48" s="698"/>
      <c r="Y48" s="698"/>
      <c r="Z48" s="698"/>
      <c r="AA48" s="698"/>
      <c r="AB48" s="698"/>
      <c r="AC48" s="698"/>
      <c r="AD48" s="699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98"/>
      <c r="X49" s="698"/>
      <c r="Y49" s="698"/>
      <c r="Z49" s="698"/>
      <c r="AA49" s="698"/>
      <c r="AB49" s="698"/>
      <c r="AC49" s="698"/>
      <c r="AD49" s="699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700"/>
      <c r="X50" s="700"/>
      <c r="Y50" s="700"/>
      <c r="Z50" s="700"/>
      <c r="AA50" s="700"/>
      <c r="AB50" s="700"/>
      <c r="AC50" s="700"/>
      <c r="AD50" s="701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89" t="s">
        <v>1616</v>
      </c>
      <c r="X51" s="690"/>
      <c r="Y51" s="660" t="s">
        <v>1642</v>
      </c>
      <c r="Z51" s="660"/>
      <c r="AA51" s="660"/>
      <c r="AB51" s="660"/>
      <c r="AC51" s="660"/>
      <c r="AD51" s="661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89" t="s">
        <v>1617</v>
      </c>
      <c r="X52" s="690"/>
      <c r="Y52" s="660" t="s">
        <v>1634</v>
      </c>
      <c r="Z52" s="660"/>
      <c r="AA52" s="660"/>
      <c r="AB52" s="660"/>
      <c r="AC52" s="660"/>
      <c r="AD52" s="661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89" t="s">
        <v>1618</v>
      </c>
      <c r="X53" s="690"/>
      <c r="Y53" s="660" t="s">
        <v>1635</v>
      </c>
      <c r="Z53" s="660"/>
      <c r="AA53" s="660"/>
      <c r="AB53" s="660"/>
      <c r="AC53" s="660"/>
      <c r="AD53" s="661"/>
    </row>
    <row r="54" spans="2:30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94" t="s">
        <v>1619</v>
      </c>
      <c r="X54" s="695"/>
      <c r="Y54" s="696" t="s">
        <v>1636</v>
      </c>
      <c r="Z54" s="696"/>
      <c r="AA54" s="696"/>
      <c r="AB54" s="696"/>
      <c r="AC54" s="696"/>
      <c r="AD54" s="697"/>
    </row>
  </sheetData>
  <mergeCells count="101"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topLeftCell="A4" zoomScale="70" zoomScaleNormal="70" zoomScaleSheetLayoutView="70" workbookViewId="0">
      <selection activeCell="AN28" sqref="AN28"/>
    </sheetView>
  </sheetViews>
  <sheetFormatPr defaultColWidth="9.140625" defaultRowHeight="12.75"/>
  <cols>
    <col min="1" max="1" width="1.7109375" style="406" customWidth="1"/>
    <col min="2" max="2" width="1.5703125" style="406" customWidth="1"/>
    <col min="3" max="3" width="10.7109375" style="406" customWidth="1"/>
    <col min="4" max="4" width="2.5703125" style="406" customWidth="1"/>
    <col min="5" max="21" width="9.140625" style="406"/>
    <col min="22" max="22" width="14.5703125" style="406" customWidth="1"/>
    <col min="23" max="23" width="3.140625" style="406" customWidth="1"/>
    <col min="24" max="27" width="9.140625" style="406"/>
    <col min="28" max="28" width="2.85546875" style="406" customWidth="1"/>
    <col min="29" max="31" width="4.7109375" style="406" customWidth="1"/>
    <col min="32" max="32" width="1.7109375" style="406" customWidth="1"/>
    <col min="33" max="16384" width="9.14062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21" t="s">
        <v>1674</v>
      </c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3"/>
      <c r="AD4" s="412"/>
      <c r="AE4" s="411"/>
      <c r="AF4" s="411"/>
    </row>
    <row r="5" spans="2:32" ht="13.5" customHeight="1" thickBot="1">
      <c r="B5" s="410"/>
      <c r="C5" s="410"/>
      <c r="D5" s="724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6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10" zoomScale="85" zoomScaleNormal="55" zoomScaleSheetLayoutView="85" workbookViewId="0">
      <selection activeCell="K29" sqref="K29"/>
    </sheetView>
  </sheetViews>
  <sheetFormatPr defaultColWidth="9.140625" defaultRowHeight="12.75"/>
  <cols>
    <col min="1" max="1" width="1.7109375" style="460" customWidth="1"/>
    <col min="2" max="2" width="1.5703125" style="460" customWidth="1"/>
    <col min="3" max="3" width="10.7109375" style="460" customWidth="1"/>
    <col min="4" max="4" width="2.5703125" style="460" customWidth="1"/>
    <col min="5" max="18" width="9.140625" style="460"/>
    <col min="19" max="19" width="14.5703125" style="460" customWidth="1"/>
    <col min="20" max="20" width="3.140625" style="460" customWidth="1"/>
    <col min="21" max="26" width="9.140625" style="460"/>
    <col min="27" max="27" width="2.85546875" style="460" customWidth="1"/>
    <col min="28" max="30" width="4.7109375" style="460" customWidth="1"/>
    <col min="31" max="31" width="1.7109375" style="460" customWidth="1"/>
    <col min="32" max="16384" width="9.14062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27" t="s">
        <v>1652</v>
      </c>
      <c r="E3" s="728"/>
      <c r="F3" s="728"/>
      <c r="G3" s="728"/>
      <c r="H3" s="728"/>
      <c r="I3" s="728"/>
      <c r="J3" s="728"/>
      <c r="K3" s="728"/>
      <c r="L3" s="728"/>
      <c r="M3" s="728"/>
      <c r="N3" s="728"/>
      <c r="O3" s="728"/>
      <c r="P3" s="728"/>
      <c r="Q3" s="728"/>
      <c r="R3" s="728"/>
      <c r="S3" s="728"/>
      <c r="T3" s="728"/>
      <c r="U3" s="728"/>
      <c r="V3" s="728"/>
      <c r="W3" s="728"/>
      <c r="X3" s="728"/>
      <c r="Y3" s="728"/>
      <c r="Z3" s="728"/>
      <c r="AA3" s="728"/>
      <c r="AB3" s="729"/>
      <c r="AC3" s="465"/>
      <c r="AD3" s="466"/>
    </row>
    <row r="4" spans="3:30" ht="12.75" customHeight="1" thickBot="1">
      <c r="C4" s="464"/>
      <c r="D4" s="730"/>
      <c r="E4" s="731"/>
      <c r="F4" s="731"/>
      <c r="G4" s="731"/>
      <c r="H4" s="731"/>
      <c r="I4" s="731"/>
      <c r="J4" s="731"/>
      <c r="K4" s="731"/>
      <c r="L4" s="731"/>
      <c r="M4" s="731"/>
      <c r="N4" s="731"/>
      <c r="O4" s="731"/>
      <c r="P4" s="731"/>
      <c r="Q4" s="731"/>
      <c r="R4" s="731"/>
      <c r="S4" s="731"/>
      <c r="T4" s="731"/>
      <c r="U4" s="731"/>
      <c r="V4" s="731"/>
      <c r="W4" s="731"/>
      <c r="X4" s="731"/>
      <c r="Y4" s="731"/>
      <c r="Z4" s="731"/>
      <c r="AA4" s="731"/>
      <c r="AB4" s="732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</vt:i4>
      </vt:variant>
    </vt:vector>
  </HeadingPairs>
  <TitlesOfParts>
    <vt:vector size="32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  <vt:lpstr>'GBR Estetika'!Print_Area</vt:lpstr>
      <vt:lpstr>'GBR Standart'!Print_Area</vt:lpstr>
      <vt:lpstr>'HARGA SATUAN'!Print_Area</vt:lpstr>
      <vt:lpstr>KKF!Print_Area</vt:lpstr>
      <vt:lpstr>KKO!Print_Area</vt:lpstr>
      <vt:lpstr>PETA!Print_Area</vt:lpstr>
      <vt:lpstr>'RAB Estetika'!Print_Area</vt:lpstr>
      <vt:lpstr>'RAB Standart'!Print_Area</vt:lpstr>
      <vt:lpstr>'REKAP MATERIAL'!Print_Area</vt:lpstr>
      <vt:lpstr>'REKAP MDU'!Print_Area</vt:lpstr>
      <vt:lpstr>'REKAP TIANG'!Print_Area</vt:lpstr>
      <vt:lpstr>SLD!Print_Area</vt:lpstr>
      <vt:lpstr>'RAB Estetika'!Print_Titles</vt:lpstr>
      <vt:lpstr>'RAB Standart'!Print_Titles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2023-11-16T06:45:51Z</cp:lastPrinted>
  <dcterms:created xsi:type="dcterms:W3CDTF">2011-02-06T11:57:38Z</dcterms:created>
  <dcterms:modified xsi:type="dcterms:W3CDTF">2024-01-29T07:17:17Z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